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bookViews>
    <workbookView xWindow="240" yWindow="135" windowWidth="18795" windowHeight="11190"/>
  </bookViews>
  <sheets>
    <sheet name="Ark1" sheetId="1" r:id="rId1"/>
    <sheet name="Ark2" sheetId="2" r:id="rId2"/>
    <sheet name="Ark3" sheetId="3" r:id="rId3"/>
    <sheet name="DV-IDENTITY-0" sheetId="6" state="veryHidden" r:id="rId4"/>
  </sheets>
  <calcPr calcId="171027" concurrentCalc="0"/>
</workbook>
</file>

<file path=xl/calcChain.xml><?xml version="1.0" encoding="utf-8"?>
<calcChain xmlns="http://schemas.openxmlformats.org/spreadsheetml/2006/main">
  <c r="A12" i="6" l="1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A11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ER11" i="6"/>
  <c r="ES11" i="6"/>
  <c r="ET11" i="6"/>
  <c r="EU11" i="6"/>
  <c r="EV11" i="6"/>
  <c r="EW11" i="6"/>
  <c r="EX11" i="6"/>
  <c r="EY11" i="6"/>
  <c r="EZ11" i="6"/>
  <c r="FA11" i="6"/>
  <c r="FB11" i="6"/>
  <c r="FC11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C11" i="6"/>
  <c r="HD11" i="6"/>
  <c r="HE11" i="6"/>
  <c r="HF11" i="6"/>
  <c r="HG11" i="6"/>
  <c r="HH11" i="6"/>
  <c r="HI11" i="6"/>
  <c r="HJ11" i="6"/>
  <c r="HK11" i="6"/>
  <c r="HL11" i="6"/>
  <c r="HM11" i="6"/>
  <c r="HN11" i="6"/>
  <c r="HO11" i="6"/>
  <c r="HP11" i="6"/>
  <c r="HQ11" i="6"/>
  <c r="HR11" i="6"/>
  <c r="HS11" i="6"/>
  <c r="HT11" i="6"/>
  <c r="HU11" i="6"/>
  <c r="HV11" i="6"/>
  <c r="HW11" i="6"/>
  <c r="HX11" i="6"/>
  <c r="HY11" i="6"/>
  <c r="HZ11" i="6"/>
  <c r="IA11" i="6"/>
  <c r="IB11" i="6"/>
  <c r="IC11" i="6"/>
  <c r="ID11" i="6"/>
  <c r="IE11" i="6"/>
  <c r="IF11" i="6"/>
  <c r="IG11" i="6"/>
  <c r="IH11" i="6"/>
  <c r="II11" i="6"/>
  <c r="IJ11" i="6"/>
  <c r="IK11" i="6"/>
  <c r="IL11" i="6"/>
  <c r="IM11" i="6"/>
  <c r="IN11" i="6"/>
  <c r="IO11" i="6"/>
  <c r="IP11" i="6"/>
  <c r="IQ11" i="6"/>
  <c r="IR11" i="6"/>
  <c r="IS11" i="6"/>
  <c r="IT11" i="6"/>
  <c r="IU11" i="6"/>
  <c r="IV11" i="6"/>
  <c r="A10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EF10" i="6"/>
  <c r="EG10" i="6"/>
  <c r="EH10" i="6"/>
  <c r="EI10" i="6"/>
  <c r="EJ10" i="6"/>
  <c r="EK10" i="6"/>
  <c r="EL10" i="6"/>
  <c r="EM10" i="6"/>
  <c r="EN10" i="6"/>
  <c r="EO10" i="6"/>
  <c r="EP10" i="6"/>
  <c r="EQ10" i="6"/>
  <c r="ER10" i="6"/>
  <c r="ES10" i="6"/>
  <c r="ET10" i="6"/>
  <c r="EU10" i="6"/>
  <c r="EV10" i="6"/>
  <c r="EW10" i="6"/>
  <c r="EX10" i="6"/>
  <c r="EY10" i="6"/>
  <c r="EZ10" i="6"/>
  <c r="FA10" i="6"/>
  <c r="FB10" i="6"/>
  <c r="FC10" i="6"/>
  <c r="FD10" i="6"/>
  <c r="FE10" i="6"/>
  <c r="FF10" i="6"/>
  <c r="FG10" i="6"/>
  <c r="FH10" i="6"/>
  <c r="FI10" i="6"/>
  <c r="FJ10" i="6"/>
  <c r="FK10" i="6"/>
  <c r="FL10" i="6"/>
  <c r="FM10" i="6"/>
  <c r="FN10" i="6"/>
  <c r="FO10" i="6"/>
  <c r="FP10" i="6"/>
  <c r="FQ10" i="6"/>
  <c r="FR10" i="6"/>
  <c r="FS10" i="6"/>
  <c r="FT10" i="6"/>
  <c r="FU10" i="6"/>
  <c r="FV10" i="6"/>
  <c r="FW10" i="6"/>
  <c r="FX10" i="6"/>
  <c r="FY10" i="6"/>
  <c r="FZ10" i="6"/>
  <c r="GA10" i="6"/>
  <c r="GB10" i="6"/>
  <c r="GC10" i="6"/>
  <c r="GD10" i="6"/>
  <c r="GE10" i="6"/>
  <c r="GF10" i="6"/>
  <c r="GG10" i="6"/>
  <c r="GH10" i="6"/>
  <c r="GI10" i="6"/>
  <c r="GJ10" i="6"/>
  <c r="GK10" i="6"/>
  <c r="GL10" i="6"/>
  <c r="GM10" i="6"/>
  <c r="GN10" i="6"/>
  <c r="GO10" i="6"/>
  <c r="GP10" i="6"/>
  <c r="GQ10" i="6"/>
  <c r="GR10" i="6"/>
  <c r="GS10" i="6"/>
  <c r="GT10" i="6"/>
  <c r="GU10" i="6"/>
  <c r="GV10" i="6"/>
  <c r="GW10" i="6"/>
  <c r="GX10" i="6"/>
  <c r="GY10" i="6"/>
  <c r="GZ10" i="6"/>
  <c r="HA10" i="6"/>
  <c r="HB10" i="6"/>
  <c r="HC10" i="6"/>
  <c r="HD10" i="6"/>
  <c r="HE10" i="6"/>
  <c r="HF10" i="6"/>
  <c r="HG10" i="6"/>
  <c r="HH10" i="6"/>
  <c r="HI10" i="6"/>
  <c r="HJ10" i="6"/>
  <c r="HK10" i="6"/>
  <c r="HL10" i="6"/>
  <c r="HM10" i="6"/>
  <c r="HN10" i="6"/>
  <c r="HO10" i="6"/>
  <c r="HP10" i="6"/>
  <c r="HQ10" i="6"/>
  <c r="HR10" i="6"/>
  <c r="HS10" i="6"/>
  <c r="HT10" i="6"/>
  <c r="HU10" i="6"/>
  <c r="HV10" i="6"/>
  <c r="HW10" i="6"/>
  <c r="HX10" i="6"/>
  <c r="HY10" i="6"/>
  <c r="HZ10" i="6"/>
  <c r="IA10" i="6"/>
  <c r="IB10" i="6"/>
  <c r="IC10" i="6"/>
  <c r="ID10" i="6"/>
  <c r="IE10" i="6"/>
  <c r="IF10" i="6"/>
  <c r="IG10" i="6"/>
  <c r="IH10" i="6"/>
  <c r="II10" i="6"/>
  <c r="IJ10" i="6"/>
  <c r="IK10" i="6"/>
  <c r="IL10" i="6"/>
  <c r="IM10" i="6"/>
  <c r="IN10" i="6"/>
  <c r="IO10" i="6"/>
  <c r="IP10" i="6"/>
  <c r="IQ10" i="6"/>
  <c r="IR10" i="6"/>
  <c r="IS10" i="6"/>
  <c r="IT10" i="6"/>
  <c r="IU10" i="6"/>
  <c r="IV10" i="6"/>
  <c r="A9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ER9" i="6"/>
  <c r="ES9" i="6"/>
  <c r="ET9" i="6"/>
  <c r="EU9" i="6"/>
  <c r="EV9" i="6"/>
  <c r="EW9" i="6"/>
  <c r="EX9" i="6"/>
  <c r="EY9" i="6"/>
  <c r="EZ9" i="6"/>
  <c r="FA9" i="6"/>
  <c r="FB9" i="6"/>
  <c r="FC9" i="6"/>
  <c r="FD9" i="6"/>
  <c r="FE9" i="6"/>
  <c r="FF9" i="6"/>
  <c r="FG9" i="6"/>
  <c r="FH9" i="6"/>
  <c r="FI9" i="6"/>
  <c r="FJ9" i="6"/>
  <c r="FK9" i="6"/>
  <c r="FL9" i="6"/>
  <c r="FM9" i="6"/>
  <c r="FN9" i="6"/>
  <c r="FO9" i="6"/>
  <c r="FP9" i="6"/>
  <c r="FQ9" i="6"/>
  <c r="FR9" i="6"/>
  <c r="FS9" i="6"/>
  <c r="FT9" i="6"/>
  <c r="FU9" i="6"/>
  <c r="FV9" i="6"/>
  <c r="FW9" i="6"/>
  <c r="FX9" i="6"/>
  <c r="FY9" i="6"/>
  <c r="FZ9" i="6"/>
  <c r="GA9" i="6"/>
  <c r="GB9" i="6"/>
  <c r="GC9" i="6"/>
  <c r="GD9" i="6"/>
  <c r="GE9" i="6"/>
  <c r="GF9" i="6"/>
  <c r="GG9" i="6"/>
  <c r="GH9" i="6"/>
  <c r="GI9" i="6"/>
  <c r="GJ9" i="6"/>
  <c r="GK9" i="6"/>
  <c r="GL9" i="6"/>
  <c r="GM9" i="6"/>
  <c r="GN9" i="6"/>
  <c r="GO9" i="6"/>
  <c r="GP9" i="6"/>
  <c r="GQ9" i="6"/>
  <c r="GR9" i="6"/>
  <c r="GS9" i="6"/>
  <c r="GT9" i="6"/>
  <c r="GU9" i="6"/>
  <c r="GV9" i="6"/>
  <c r="GW9" i="6"/>
  <c r="GX9" i="6"/>
  <c r="GY9" i="6"/>
  <c r="GZ9" i="6"/>
  <c r="HA9" i="6"/>
  <c r="HB9" i="6"/>
  <c r="HC9" i="6"/>
  <c r="HD9" i="6"/>
  <c r="HE9" i="6"/>
  <c r="HF9" i="6"/>
  <c r="HG9" i="6"/>
  <c r="HH9" i="6"/>
  <c r="HI9" i="6"/>
  <c r="HJ9" i="6"/>
  <c r="HK9" i="6"/>
  <c r="HL9" i="6"/>
  <c r="HM9" i="6"/>
  <c r="HN9" i="6"/>
  <c r="HO9" i="6"/>
  <c r="HP9" i="6"/>
  <c r="HQ9" i="6"/>
  <c r="HR9" i="6"/>
  <c r="HS9" i="6"/>
  <c r="HT9" i="6"/>
  <c r="HU9" i="6"/>
  <c r="HV9" i="6"/>
  <c r="HW9" i="6"/>
  <c r="HX9" i="6"/>
  <c r="HY9" i="6"/>
  <c r="HZ9" i="6"/>
  <c r="IA9" i="6"/>
  <c r="IB9" i="6"/>
  <c r="IC9" i="6"/>
  <c r="ID9" i="6"/>
  <c r="IE9" i="6"/>
  <c r="IF9" i="6"/>
  <c r="IG9" i="6"/>
  <c r="IH9" i="6"/>
  <c r="II9" i="6"/>
  <c r="IJ9" i="6"/>
  <c r="IK9" i="6"/>
  <c r="IL9" i="6"/>
  <c r="IM9" i="6"/>
  <c r="IN9" i="6"/>
  <c r="IO9" i="6"/>
  <c r="IP9" i="6"/>
  <c r="IQ9" i="6"/>
  <c r="IR9" i="6"/>
  <c r="IS9" i="6"/>
  <c r="IT9" i="6"/>
  <c r="IU9" i="6"/>
  <c r="IV9" i="6"/>
  <c r="A8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P8" i="6"/>
  <c r="IQ8" i="6"/>
  <c r="IR8" i="6"/>
  <c r="IS8" i="6"/>
  <c r="IT8" i="6"/>
  <c r="IU8" i="6"/>
  <c r="IV8" i="6"/>
  <c r="A7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FA7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S7" i="6"/>
  <c r="FT7" i="6"/>
  <c r="FU7" i="6"/>
  <c r="FV7" i="6"/>
  <c r="FW7" i="6"/>
  <c r="FX7" i="6"/>
  <c r="FY7" i="6"/>
  <c r="FZ7" i="6"/>
  <c r="GA7" i="6"/>
  <c r="GB7" i="6"/>
  <c r="GC7" i="6"/>
  <c r="GD7" i="6"/>
  <c r="GE7" i="6"/>
  <c r="GF7" i="6"/>
  <c r="GG7" i="6"/>
  <c r="GH7" i="6"/>
  <c r="GI7" i="6"/>
  <c r="GJ7" i="6"/>
  <c r="GK7" i="6"/>
  <c r="GL7" i="6"/>
  <c r="GM7" i="6"/>
  <c r="GN7" i="6"/>
  <c r="GO7" i="6"/>
  <c r="GP7" i="6"/>
  <c r="GQ7" i="6"/>
  <c r="GR7" i="6"/>
  <c r="GS7" i="6"/>
  <c r="GT7" i="6"/>
  <c r="GU7" i="6"/>
  <c r="GV7" i="6"/>
  <c r="GW7" i="6"/>
  <c r="GX7" i="6"/>
  <c r="GY7" i="6"/>
  <c r="GZ7" i="6"/>
  <c r="HA7" i="6"/>
  <c r="HB7" i="6"/>
  <c r="HC7" i="6"/>
  <c r="HD7" i="6"/>
  <c r="HE7" i="6"/>
  <c r="HF7" i="6"/>
  <c r="HG7" i="6"/>
  <c r="HH7" i="6"/>
  <c r="HI7" i="6"/>
  <c r="HJ7" i="6"/>
  <c r="HK7" i="6"/>
  <c r="HL7" i="6"/>
  <c r="HM7" i="6"/>
  <c r="HN7" i="6"/>
  <c r="HO7" i="6"/>
  <c r="HP7" i="6"/>
  <c r="HQ7" i="6"/>
  <c r="HR7" i="6"/>
  <c r="HS7" i="6"/>
  <c r="HT7" i="6"/>
  <c r="HU7" i="6"/>
  <c r="HV7" i="6"/>
  <c r="HW7" i="6"/>
  <c r="HX7" i="6"/>
  <c r="HY7" i="6"/>
  <c r="HZ7" i="6"/>
  <c r="IA7" i="6"/>
  <c r="IB7" i="6"/>
  <c r="IC7" i="6"/>
  <c r="ID7" i="6"/>
  <c r="IE7" i="6"/>
  <c r="IF7" i="6"/>
  <c r="IG7" i="6"/>
  <c r="IH7" i="6"/>
  <c r="II7" i="6"/>
  <c r="IJ7" i="6"/>
  <c r="IK7" i="6"/>
  <c r="IL7" i="6"/>
  <c r="IM7" i="6"/>
  <c r="IN7" i="6"/>
  <c r="IO7" i="6"/>
  <c r="IP7" i="6"/>
  <c r="IQ7" i="6"/>
  <c r="IR7" i="6"/>
  <c r="IS7" i="6"/>
  <c r="IT7" i="6"/>
  <c r="IU7" i="6"/>
  <c r="IV7" i="6"/>
  <c r="A6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FA6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S6" i="6"/>
  <c r="FT6" i="6"/>
  <c r="FU6" i="6"/>
  <c r="FV6" i="6"/>
  <c r="FW6" i="6"/>
  <c r="FX6" i="6"/>
  <c r="FY6" i="6"/>
  <c r="FZ6" i="6"/>
  <c r="GA6" i="6"/>
  <c r="GB6" i="6"/>
  <c r="GC6" i="6"/>
  <c r="GD6" i="6"/>
  <c r="GE6" i="6"/>
  <c r="GF6" i="6"/>
  <c r="GG6" i="6"/>
  <c r="GH6" i="6"/>
  <c r="GI6" i="6"/>
  <c r="GJ6" i="6"/>
  <c r="GK6" i="6"/>
  <c r="GL6" i="6"/>
  <c r="GM6" i="6"/>
  <c r="GN6" i="6"/>
  <c r="GO6" i="6"/>
  <c r="GP6" i="6"/>
  <c r="GQ6" i="6"/>
  <c r="GR6" i="6"/>
  <c r="GS6" i="6"/>
  <c r="GT6" i="6"/>
  <c r="GU6" i="6"/>
  <c r="GV6" i="6"/>
  <c r="GW6" i="6"/>
  <c r="GX6" i="6"/>
  <c r="GY6" i="6"/>
  <c r="GZ6" i="6"/>
  <c r="HA6" i="6"/>
  <c r="HB6" i="6"/>
  <c r="HC6" i="6"/>
  <c r="HD6" i="6"/>
  <c r="HE6" i="6"/>
  <c r="HF6" i="6"/>
  <c r="HG6" i="6"/>
  <c r="HH6" i="6"/>
  <c r="HI6" i="6"/>
  <c r="HJ6" i="6"/>
  <c r="HK6" i="6"/>
  <c r="HL6" i="6"/>
  <c r="HM6" i="6"/>
  <c r="HN6" i="6"/>
  <c r="HO6" i="6"/>
  <c r="HP6" i="6"/>
  <c r="HQ6" i="6"/>
  <c r="HR6" i="6"/>
  <c r="HS6" i="6"/>
  <c r="HT6" i="6"/>
  <c r="HU6" i="6"/>
  <c r="HV6" i="6"/>
  <c r="HW6" i="6"/>
  <c r="HX6" i="6"/>
  <c r="HY6" i="6"/>
  <c r="HZ6" i="6"/>
  <c r="IA6" i="6"/>
  <c r="IB6" i="6"/>
  <c r="IC6" i="6"/>
  <c r="ID6" i="6"/>
  <c r="IE6" i="6"/>
  <c r="IF6" i="6"/>
  <c r="IG6" i="6"/>
  <c r="IH6" i="6"/>
  <c r="II6" i="6"/>
  <c r="IJ6" i="6"/>
  <c r="IK6" i="6"/>
  <c r="IL6" i="6"/>
  <c r="IM6" i="6"/>
  <c r="IN6" i="6"/>
  <c r="IO6" i="6"/>
  <c r="IP6" i="6"/>
  <c r="IQ6" i="6"/>
  <c r="IR6" i="6"/>
  <c r="IS6" i="6"/>
  <c r="IT6" i="6"/>
  <c r="IU6" i="6"/>
  <c r="IV6" i="6"/>
  <c r="A5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DW5" i="6"/>
  <c r="DX5" i="6"/>
  <c r="DY5" i="6"/>
  <c r="DZ5" i="6"/>
  <c r="EA5" i="6"/>
  <c r="EB5" i="6"/>
  <c r="EC5" i="6"/>
  <c r="ED5" i="6"/>
  <c r="EE5" i="6"/>
  <c r="EF5" i="6"/>
  <c r="EG5" i="6"/>
  <c r="EH5" i="6"/>
  <c r="EI5" i="6"/>
  <c r="EJ5" i="6"/>
  <c r="EK5" i="6"/>
  <c r="EL5" i="6"/>
  <c r="EM5" i="6"/>
  <c r="EN5" i="6"/>
  <c r="EO5" i="6"/>
  <c r="EP5" i="6"/>
  <c r="EQ5" i="6"/>
  <c r="ER5" i="6"/>
  <c r="ES5" i="6"/>
  <c r="ET5" i="6"/>
  <c r="EU5" i="6"/>
  <c r="EV5" i="6"/>
  <c r="EW5" i="6"/>
  <c r="EX5" i="6"/>
  <c r="EY5" i="6"/>
  <c r="EZ5" i="6"/>
  <c r="FA5" i="6"/>
  <c r="FB5" i="6"/>
  <c r="FC5" i="6"/>
  <c r="FD5" i="6"/>
  <c r="FE5" i="6"/>
  <c r="FF5" i="6"/>
  <c r="FG5" i="6"/>
  <c r="FH5" i="6"/>
  <c r="FI5" i="6"/>
  <c r="FJ5" i="6"/>
  <c r="FK5" i="6"/>
  <c r="FL5" i="6"/>
  <c r="FM5" i="6"/>
  <c r="FN5" i="6"/>
  <c r="FO5" i="6"/>
  <c r="FP5" i="6"/>
  <c r="FQ5" i="6"/>
  <c r="FR5" i="6"/>
  <c r="FS5" i="6"/>
  <c r="FT5" i="6"/>
  <c r="FU5" i="6"/>
  <c r="FV5" i="6"/>
  <c r="FW5" i="6"/>
  <c r="FX5" i="6"/>
  <c r="FY5" i="6"/>
  <c r="FZ5" i="6"/>
  <c r="GA5" i="6"/>
  <c r="GB5" i="6"/>
  <c r="GC5" i="6"/>
  <c r="GD5" i="6"/>
  <c r="GE5" i="6"/>
  <c r="GF5" i="6"/>
  <c r="GG5" i="6"/>
  <c r="GH5" i="6"/>
  <c r="GI5" i="6"/>
  <c r="GJ5" i="6"/>
  <c r="GK5" i="6"/>
  <c r="GL5" i="6"/>
  <c r="GM5" i="6"/>
  <c r="GN5" i="6"/>
  <c r="GO5" i="6"/>
  <c r="GP5" i="6"/>
  <c r="GQ5" i="6"/>
  <c r="GR5" i="6"/>
  <c r="GS5" i="6"/>
  <c r="GT5" i="6"/>
  <c r="GU5" i="6"/>
  <c r="GV5" i="6"/>
  <c r="GW5" i="6"/>
  <c r="GX5" i="6"/>
  <c r="GY5" i="6"/>
  <c r="GZ5" i="6"/>
  <c r="HA5" i="6"/>
  <c r="HB5" i="6"/>
  <c r="HC5" i="6"/>
  <c r="HD5" i="6"/>
  <c r="HE5" i="6"/>
  <c r="HF5" i="6"/>
  <c r="HG5" i="6"/>
  <c r="HH5" i="6"/>
  <c r="HI5" i="6"/>
  <c r="HJ5" i="6"/>
  <c r="HK5" i="6"/>
  <c r="HL5" i="6"/>
  <c r="HM5" i="6"/>
  <c r="HN5" i="6"/>
  <c r="HO5" i="6"/>
  <c r="HP5" i="6"/>
  <c r="HQ5" i="6"/>
  <c r="HR5" i="6"/>
  <c r="HS5" i="6"/>
  <c r="HT5" i="6"/>
  <c r="HU5" i="6"/>
  <c r="HV5" i="6"/>
  <c r="HW5" i="6"/>
  <c r="HX5" i="6"/>
  <c r="HY5" i="6"/>
  <c r="HZ5" i="6"/>
  <c r="IA5" i="6"/>
  <c r="IB5" i="6"/>
  <c r="IC5" i="6"/>
  <c r="ID5" i="6"/>
  <c r="IE5" i="6"/>
  <c r="IF5" i="6"/>
  <c r="IG5" i="6"/>
  <c r="IH5" i="6"/>
  <c r="II5" i="6"/>
  <c r="IJ5" i="6"/>
  <c r="IK5" i="6"/>
  <c r="IL5" i="6"/>
  <c r="IM5" i="6"/>
  <c r="IN5" i="6"/>
  <c r="IO5" i="6"/>
  <c r="IP5" i="6"/>
  <c r="IQ5" i="6"/>
  <c r="IR5" i="6"/>
  <c r="IS5" i="6"/>
  <c r="IT5" i="6"/>
  <c r="IU5" i="6"/>
  <c r="IV5" i="6"/>
  <c r="A4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DN4" i="6"/>
  <c r="DO4" i="6"/>
  <c r="DP4" i="6"/>
  <c r="DQ4" i="6"/>
  <c r="DR4" i="6"/>
  <c r="DS4" i="6"/>
  <c r="DT4" i="6"/>
  <c r="DU4" i="6"/>
  <c r="DV4" i="6"/>
  <c r="DW4" i="6"/>
  <c r="DX4" i="6"/>
  <c r="DY4" i="6"/>
  <c r="DZ4" i="6"/>
  <c r="EA4" i="6"/>
  <c r="EB4" i="6"/>
  <c r="EC4" i="6"/>
  <c r="ED4" i="6"/>
  <c r="EE4" i="6"/>
  <c r="EF4" i="6"/>
  <c r="EG4" i="6"/>
  <c r="EH4" i="6"/>
  <c r="EI4" i="6"/>
  <c r="EJ4" i="6"/>
  <c r="EK4" i="6"/>
  <c r="EL4" i="6"/>
  <c r="EM4" i="6"/>
  <c r="EN4" i="6"/>
  <c r="EO4" i="6"/>
  <c r="EP4" i="6"/>
  <c r="EQ4" i="6"/>
  <c r="ER4" i="6"/>
  <c r="ES4" i="6"/>
  <c r="ET4" i="6"/>
  <c r="EU4" i="6"/>
  <c r="EV4" i="6"/>
  <c r="EW4" i="6"/>
  <c r="EX4" i="6"/>
  <c r="EY4" i="6"/>
  <c r="EZ4" i="6"/>
  <c r="FA4" i="6"/>
  <c r="FB4" i="6"/>
  <c r="FC4" i="6"/>
  <c r="FD4" i="6"/>
  <c r="FE4" i="6"/>
  <c r="FF4" i="6"/>
  <c r="FG4" i="6"/>
  <c r="FH4" i="6"/>
  <c r="FI4" i="6"/>
  <c r="FJ4" i="6"/>
  <c r="FK4" i="6"/>
  <c r="FL4" i="6"/>
  <c r="FM4" i="6"/>
  <c r="FN4" i="6"/>
  <c r="FO4" i="6"/>
  <c r="FP4" i="6"/>
  <c r="FQ4" i="6"/>
  <c r="FR4" i="6"/>
  <c r="FS4" i="6"/>
  <c r="FT4" i="6"/>
  <c r="FU4" i="6"/>
  <c r="FV4" i="6"/>
  <c r="FW4" i="6"/>
  <c r="FX4" i="6"/>
  <c r="FY4" i="6"/>
  <c r="FZ4" i="6"/>
  <c r="GA4" i="6"/>
  <c r="GB4" i="6"/>
  <c r="GC4" i="6"/>
  <c r="GD4" i="6"/>
  <c r="GE4" i="6"/>
  <c r="GF4" i="6"/>
  <c r="GG4" i="6"/>
  <c r="GH4" i="6"/>
  <c r="GI4" i="6"/>
  <c r="GJ4" i="6"/>
  <c r="GK4" i="6"/>
  <c r="GL4" i="6"/>
  <c r="GM4" i="6"/>
  <c r="GN4" i="6"/>
  <c r="GO4" i="6"/>
  <c r="GP4" i="6"/>
  <c r="GQ4" i="6"/>
  <c r="GR4" i="6"/>
  <c r="GS4" i="6"/>
  <c r="GT4" i="6"/>
  <c r="GU4" i="6"/>
  <c r="GV4" i="6"/>
  <c r="GW4" i="6"/>
  <c r="GX4" i="6"/>
  <c r="GY4" i="6"/>
  <c r="GZ4" i="6"/>
  <c r="HA4" i="6"/>
  <c r="HB4" i="6"/>
  <c r="HC4" i="6"/>
  <c r="HD4" i="6"/>
  <c r="HE4" i="6"/>
  <c r="HF4" i="6"/>
  <c r="HG4" i="6"/>
  <c r="HH4" i="6"/>
  <c r="HI4" i="6"/>
  <c r="HJ4" i="6"/>
  <c r="HK4" i="6"/>
  <c r="HL4" i="6"/>
  <c r="HM4" i="6"/>
  <c r="HN4" i="6"/>
  <c r="HO4" i="6"/>
  <c r="HP4" i="6"/>
  <c r="HQ4" i="6"/>
  <c r="HR4" i="6"/>
  <c r="HS4" i="6"/>
  <c r="HT4" i="6"/>
  <c r="HU4" i="6"/>
  <c r="HV4" i="6"/>
  <c r="HW4" i="6"/>
  <c r="HX4" i="6"/>
  <c r="HY4" i="6"/>
  <c r="HZ4" i="6"/>
  <c r="IA4" i="6"/>
  <c r="IB4" i="6"/>
  <c r="IC4" i="6"/>
  <c r="ID4" i="6"/>
  <c r="IE4" i="6"/>
  <c r="IF4" i="6"/>
  <c r="IG4" i="6"/>
  <c r="IH4" i="6"/>
  <c r="II4" i="6"/>
  <c r="IJ4" i="6"/>
  <c r="IK4" i="6"/>
  <c r="IL4" i="6"/>
  <c r="IM4" i="6"/>
  <c r="IN4" i="6"/>
  <c r="IO4" i="6"/>
  <c r="IP4" i="6"/>
  <c r="IQ4" i="6"/>
  <c r="IR4" i="6"/>
  <c r="IS4" i="6"/>
  <c r="IT4" i="6"/>
  <c r="IU4" i="6"/>
  <c r="IV4" i="6"/>
  <c r="A3" i="6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BI3" i="6"/>
  <c r="BJ3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CH3" i="6"/>
  <c r="CI3" i="6"/>
  <c r="CJ3" i="6"/>
  <c r="CK3" i="6"/>
  <c r="CL3" i="6"/>
  <c r="CM3" i="6"/>
  <c r="CN3" i="6"/>
  <c r="CO3" i="6"/>
  <c r="CP3" i="6"/>
  <c r="CQ3" i="6"/>
  <c r="CR3" i="6"/>
  <c r="CS3" i="6"/>
  <c r="CT3" i="6"/>
  <c r="CU3" i="6"/>
  <c r="CV3" i="6"/>
  <c r="CW3" i="6"/>
  <c r="CX3" i="6"/>
  <c r="CY3" i="6"/>
  <c r="CZ3" i="6"/>
  <c r="DA3" i="6"/>
  <c r="DB3" i="6"/>
  <c r="DC3" i="6"/>
  <c r="DD3" i="6"/>
  <c r="DE3" i="6"/>
  <c r="DF3" i="6"/>
  <c r="DG3" i="6"/>
  <c r="DH3" i="6"/>
  <c r="DI3" i="6"/>
  <c r="DJ3" i="6"/>
  <c r="DK3" i="6"/>
  <c r="DL3" i="6"/>
  <c r="DM3" i="6"/>
  <c r="DN3" i="6"/>
  <c r="DO3" i="6"/>
  <c r="DP3" i="6"/>
  <c r="DQ3" i="6"/>
  <c r="DR3" i="6"/>
  <c r="DS3" i="6"/>
  <c r="DT3" i="6"/>
  <c r="DU3" i="6"/>
  <c r="DV3" i="6"/>
  <c r="DW3" i="6"/>
  <c r="DX3" i="6"/>
  <c r="DY3" i="6"/>
  <c r="DZ3" i="6"/>
  <c r="EA3" i="6"/>
  <c r="EB3" i="6"/>
  <c r="EC3" i="6"/>
  <c r="ED3" i="6"/>
  <c r="EE3" i="6"/>
  <c r="EF3" i="6"/>
  <c r="EG3" i="6"/>
  <c r="EH3" i="6"/>
  <c r="EI3" i="6"/>
  <c r="EJ3" i="6"/>
  <c r="EK3" i="6"/>
  <c r="EL3" i="6"/>
  <c r="EM3" i="6"/>
  <c r="EN3" i="6"/>
  <c r="EO3" i="6"/>
  <c r="EP3" i="6"/>
  <c r="EQ3" i="6"/>
  <c r="ER3" i="6"/>
  <c r="ES3" i="6"/>
  <c r="ET3" i="6"/>
  <c r="EU3" i="6"/>
  <c r="EV3" i="6"/>
  <c r="EW3" i="6"/>
  <c r="EX3" i="6"/>
  <c r="EY3" i="6"/>
  <c r="EZ3" i="6"/>
  <c r="FA3" i="6"/>
  <c r="FB3" i="6"/>
  <c r="FC3" i="6"/>
  <c r="FD3" i="6"/>
  <c r="FE3" i="6"/>
  <c r="FF3" i="6"/>
  <c r="FG3" i="6"/>
  <c r="FH3" i="6"/>
  <c r="FI3" i="6"/>
  <c r="FJ3" i="6"/>
  <c r="FK3" i="6"/>
  <c r="FL3" i="6"/>
  <c r="FM3" i="6"/>
  <c r="FN3" i="6"/>
  <c r="FO3" i="6"/>
  <c r="FP3" i="6"/>
  <c r="FQ3" i="6"/>
  <c r="FR3" i="6"/>
  <c r="FS3" i="6"/>
  <c r="FT3" i="6"/>
  <c r="FU3" i="6"/>
  <c r="FV3" i="6"/>
  <c r="FW3" i="6"/>
  <c r="FX3" i="6"/>
  <c r="FY3" i="6"/>
  <c r="FZ3" i="6"/>
  <c r="GA3" i="6"/>
  <c r="GB3" i="6"/>
  <c r="GC3" i="6"/>
  <c r="GD3" i="6"/>
  <c r="GE3" i="6"/>
  <c r="GF3" i="6"/>
  <c r="GG3" i="6"/>
  <c r="GH3" i="6"/>
  <c r="GI3" i="6"/>
  <c r="GJ3" i="6"/>
  <c r="GK3" i="6"/>
  <c r="GL3" i="6"/>
  <c r="GM3" i="6"/>
  <c r="GN3" i="6"/>
  <c r="GO3" i="6"/>
  <c r="GP3" i="6"/>
  <c r="GQ3" i="6"/>
  <c r="GR3" i="6"/>
  <c r="GS3" i="6"/>
  <c r="GT3" i="6"/>
  <c r="GU3" i="6"/>
  <c r="GV3" i="6"/>
  <c r="GW3" i="6"/>
  <c r="GX3" i="6"/>
  <c r="GY3" i="6"/>
  <c r="GZ3" i="6"/>
  <c r="HA3" i="6"/>
  <c r="HB3" i="6"/>
  <c r="HC3" i="6"/>
  <c r="HD3" i="6"/>
  <c r="HE3" i="6"/>
  <c r="HF3" i="6"/>
  <c r="HG3" i="6"/>
  <c r="HH3" i="6"/>
  <c r="HI3" i="6"/>
  <c r="HJ3" i="6"/>
  <c r="HK3" i="6"/>
  <c r="HL3" i="6"/>
  <c r="HM3" i="6"/>
  <c r="HN3" i="6"/>
  <c r="HO3" i="6"/>
  <c r="HP3" i="6"/>
  <c r="HQ3" i="6"/>
  <c r="HR3" i="6"/>
  <c r="HS3" i="6"/>
  <c r="HT3" i="6"/>
  <c r="HU3" i="6"/>
  <c r="HV3" i="6"/>
  <c r="HW3" i="6"/>
  <c r="HX3" i="6"/>
  <c r="HY3" i="6"/>
  <c r="HZ3" i="6"/>
  <c r="IA3" i="6"/>
  <c r="IB3" i="6"/>
  <c r="IC3" i="6"/>
  <c r="ID3" i="6"/>
  <c r="IE3" i="6"/>
  <c r="IF3" i="6"/>
  <c r="IG3" i="6"/>
  <c r="IH3" i="6"/>
  <c r="II3" i="6"/>
  <c r="IJ3" i="6"/>
  <c r="IK3" i="6"/>
  <c r="IL3" i="6"/>
  <c r="IM3" i="6"/>
  <c r="IN3" i="6"/>
  <c r="IO3" i="6"/>
  <c r="IP3" i="6"/>
  <c r="IQ3" i="6"/>
  <c r="IR3" i="6"/>
  <c r="IS3" i="6"/>
  <c r="IT3" i="6"/>
  <c r="IU3" i="6"/>
  <c r="IV3" i="6"/>
  <c r="A2" i="6"/>
  <c r="B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BI2" i="6"/>
  <c r="BJ2" i="6"/>
  <c r="BK2" i="6"/>
  <c r="BL2" i="6"/>
  <c r="BM2" i="6"/>
  <c r="BN2" i="6"/>
  <c r="BO2" i="6"/>
  <c r="BP2" i="6"/>
  <c r="BQ2" i="6"/>
  <c r="BR2" i="6"/>
  <c r="BS2" i="6"/>
  <c r="BT2" i="6"/>
  <c r="BU2" i="6"/>
  <c r="BV2" i="6"/>
  <c r="BW2" i="6"/>
  <c r="BX2" i="6"/>
  <c r="BY2" i="6"/>
  <c r="BZ2" i="6"/>
  <c r="CA2" i="6"/>
  <c r="CB2" i="6"/>
  <c r="CC2" i="6"/>
  <c r="CD2" i="6"/>
  <c r="CE2" i="6"/>
  <c r="CF2" i="6"/>
  <c r="CG2" i="6"/>
  <c r="CH2" i="6"/>
  <c r="CI2" i="6"/>
  <c r="CJ2" i="6"/>
  <c r="CK2" i="6"/>
  <c r="CL2" i="6"/>
  <c r="CM2" i="6"/>
  <c r="CN2" i="6"/>
  <c r="CO2" i="6"/>
  <c r="CP2" i="6"/>
  <c r="CQ2" i="6"/>
  <c r="CR2" i="6"/>
  <c r="CS2" i="6"/>
  <c r="CT2" i="6"/>
  <c r="CU2" i="6"/>
  <c r="CV2" i="6"/>
  <c r="CW2" i="6"/>
  <c r="CX2" i="6"/>
  <c r="CY2" i="6"/>
  <c r="CZ2" i="6"/>
  <c r="DA2" i="6"/>
  <c r="DB2" i="6"/>
  <c r="DC2" i="6"/>
  <c r="DD2" i="6"/>
  <c r="DE2" i="6"/>
  <c r="DF2" i="6"/>
  <c r="DG2" i="6"/>
  <c r="DH2" i="6"/>
  <c r="DI2" i="6"/>
  <c r="DJ2" i="6"/>
  <c r="DK2" i="6"/>
  <c r="DL2" i="6"/>
  <c r="DM2" i="6"/>
  <c r="DN2" i="6"/>
  <c r="DO2" i="6"/>
  <c r="DP2" i="6"/>
  <c r="DQ2" i="6"/>
  <c r="DR2" i="6"/>
  <c r="DS2" i="6"/>
  <c r="DT2" i="6"/>
  <c r="DU2" i="6"/>
  <c r="DV2" i="6"/>
  <c r="DW2" i="6"/>
  <c r="DX2" i="6"/>
  <c r="DY2" i="6"/>
  <c r="DZ2" i="6"/>
  <c r="EA2" i="6"/>
  <c r="EB2" i="6"/>
  <c r="EC2" i="6"/>
  <c r="ED2" i="6"/>
  <c r="EE2" i="6"/>
  <c r="EF2" i="6"/>
  <c r="EG2" i="6"/>
  <c r="EH2" i="6"/>
  <c r="EI2" i="6"/>
  <c r="EJ2" i="6"/>
  <c r="EK2" i="6"/>
  <c r="EL2" i="6"/>
  <c r="EM2" i="6"/>
  <c r="EN2" i="6"/>
  <c r="EO2" i="6"/>
  <c r="EP2" i="6"/>
  <c r="EQ2" i="6"/>
  <c r="ER2" i="6"/>
  <c r="ES2" i="6"/>
  <c r="ET2" i="6"/>
  <c r="EU2" i="6"/>
  <c r="EV2" i="6"/>
  <c r="EW2" i="6"/>
  <c r="EX2" i="6"/>
  <c r="EY2" i="6"/>
  <c r="EZ2" i="6"/>
  <c r="FA2" i="6"/>
  <c r="FB2" i="6"/>
  <c r="FC2" i="6"/>
  <c r="FD2" i="6"/>
  <c r="FE2" i="6"/>
  <c r="FF2" i="6"/>
  <c r="FG2" i="6"/>
  <c r="FH2" i="6"/>
  <c r="FI2" i="6"/>
  <c r="FJ2" i="6"/>
  <c r="FK2" i="6"/>
  <c r="FL2" i="6"/>
  <c r="FM2" i="6"/>
  <c r="FN2" i="6"/>
  <c r="FO2" i="6"/>
  <c r="FP2" i="6"/>
  <c r="FQ2" i="6"/>
  <c r="FR2" i="6"/>
  <c r="FS2" i="6"/>
  <c r="FT2" i="6"/>
  <c r="FU2" i="6"/>
  <c r="FV2" i="6"/>
  <c r="FW2" i="6"/>
  <c r="FX2" i="6"/>
  <c r="FY2" i="6"/>
  <c r="FZ2" i="6"/>
  <c r="GA2" i="6"/>
  <c r="GB2" i="6"/>
  <c r="GC2" i="6"/>
  <c r="GD2" i="6"/>
  <c r="GE2" i="6"/>
  <c r="GF2" i="6"/>
  <c r="GG2" i="6"/>
  <c r="GH2" i="6"/>
  <c r="GI2" i="6"/>
  <c r="GJ2" i="6"/>
  <c r="GK2" i="6"/>
  <c r="GL2" i="6"/>
  <c r="GM2" i="6"/>
  <c r="GN2" i="6"/>
  <c r="GO2" i="6"/>
  <c r="GP2" i="6"/>
  <c r="GQ2" i="6"/>
  <c r="GR2" i="6"/>
  <c r="GS2" i="6"/>
  <c r="GT2" i="6"/>
  <c r="GU2" i="6"/>
  <c r="GV2" i="6"/>
  <c r="GW2" i="6"/>
  <c r="GX2" i="6"/>
  <c r="GY2" i="6"/>
  <c r="GZ2" i="6"/>
  <c r="HA2" i="6"/>
  <c r="HB2" i="6"/>
  <c r="HC2" i="6"/>
  <c r="HD2" i="6"/>
  <c r="HE2" i="6"/>
  <c r="HF2" i="6"/>
  <c r="HG2" i="6"/>
  <c r="HH2" i="6"/>
  <c r="HI2" i="6"/>
  <c r="HJ2" i="6"/>
  <c r="HK2" i="6"/>
  <c r="HL2" i="6"/>
  <c r="HM2" i="6"/>
  <c r="HN2" i="6"/>
  <c r="HO2" i="6"/>
  <c r="HP2" i="6"/>
  <c r="HQ2" i="6"/>
  <c r="HR2" i="6"/>
  <c r="HS2" i="6"/>
  <c r="HT2" i="6"/>
  <c r="HU2" i="6"/>
  <c r="HV2" i="6"/>
  <c r="HW2" i="6"/>
  <c r="HX2" i="6"/>
  <c r="HY2" i="6"/>
  <c r="HZ2" i="6"/>
  <c r="IA2" i="6"/>
  <c r="IB2" i="6"/>
  <c r="IC2" i="6"/>
  <c r="ID2" i="6"/>
  <c r="IE2" i="6"/>
  <c r="IF2" i="6"/>
  <c r="IG2" i="6"/>
  <c r="IH2" i="6"/>
  <c r="II2" i="6"/>
  <c r="IJ2" i="6"/>
  <c r="IK2" i="6"/>
  <c r="IL2" i="6"/>
  <c r="IM2" i="6"/>
  <c r="IN2" i="6"/>
  <c r="IO2" i="6"/>
  <c r="IP2" i="6"/>
  <c r="IQ2" i="6"/>
  <c r="IR2" i="6"/>
  <c r="IS2" i="6"/>
  <c r="IT2" i="6"/>
  <c r="IU2" i="6"/>
  <c r="IV2" i="6"/>
  <c r="A1" i="6"/>
  <c r="B1" i="6"/>
  <c r="C1" i="6"/>
  <c r="D1" i="6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AY1" i="6"/>
  <c r="AZ1" i="6"/>
  <c r="BA1" i="6"/>
  <c r="BB1" i="6"/>
  <c r="BC1" i="6"/>
  <c r="BD1" i="6"/>
  <c r="BE1" i="6"/>
  <c r="BF1" i="6"/>
  <c r="BG1" i="6"/>
  <c r="BH1" i="6"/>
  <c r="BI1" i="6"/>
  <c r="BJ1" i="6"/>
  <c r="BK1" i="6"/>
  <c r="BL1" i="6"/>
  <c r="BM1" i="6"/>
  <c r="BN1" i="6"/>
  <c r="BO1" i="6"/>
  <c r="BP1" i="6"/>
  <c r="BQ1" i="6"/>
  <c r="BR1" i="6"/>
  <c r="BS1" i="6"/>
  <c r="BT1" i="6"/>
  <c r="BU1" i="6"/>
  <c r="BV1" i="6"/>
  <c r="BW1" i="6"/>
  <c r="BX1" i="6"/>
  <c r="BY1" i="6"/>
  <c r="BZ1" i="6"/>
  <c r="CA1" i="6"/>
  <c r="CB1" i="6"/>
  <c r="CC1" i="6"/>
  <c r="CD1" i="6"/>
  <c r="CE1" i="6"/>
  <c r="CF1" i="6"/>
  <c r="CG1" i="6"/>
  <c r="CH1" i="6"/>
  <c r="CI1" i="6"/>
  <c r="CJ1" i="6"/>
  <c r="CK1" i="6"/>
  <c r="CL1" i="6"/>
  <c r="CM1" i="6"/>
  <c r="CN1" i="6"/>
  <c r="CO1" i="6"/>
  <c r="CP1" i="6"/>
  <c r="CQ1" i="6"/>
  <c r="CR1" i="6"/>
  <c r="CS1" i="6"/>
  <c r="CT1" i="6"/>
  <c r="CU1" i="6"/>
  <c r="CV1" i="6"/>
  <c r="CW1" i="6"/>
  <c r="CX1" i="6"/>
  <c r="CY1" i="6"/>
  <c r="CZ1" i="6"/>
  <c r="DA1" i="6"/>
  <c r="DB1" i="6"/>
  <c r="DC1" i="6"/>
  <c r="DD1" i="6"/>
  <c r="DE1" i="6"/>
  <c r="DF1" i="6"/>
  <c r="DG1" i="6"/>
  <c r="DH1" i="6"/>
  <c r="DI1" i="6"/>
  <c r="DJ1" i="6"/>
  <c r="DK1" i="6"/>
  <c r="DL1" i="6"/>
  <c r="DM1" i="6"/>
  <c r="DN1" i="6"/>
  <c r="DO1" i="6"/>
  <c r="DP1" i="6"/>
  <c r="DQ1" i="6"/>
  <c r="DR1" i="6"/>
  <c r="DS1" i="6"/>
  <c r="DT1" i="6"/>
  <c r="DU1" i="6"/>
  <c r="DV1" i="6"/>
  <c r="DW1" i="6"/>
  <c r="DX1" i="6"/>
  <c r="DY1" i="6"/>
  <c r="DZ1" i="6"/>
  <c r="EA1" i="6"/>
  <c r="EB1" i="6"/>
  <c r="EC1" i="6"/>
  <c r="ED1" i="6"/>
  <c r="EE1" i="6"/>
  <c r="EF1" i="6"/>
  <c r="EG1" i="6"/>
  <c r="EH1" i="6"/>
  <c r="EI1" i="6"/>
  <c r="EJ1" i="6"/>
  <c r="EK1" i="6"/>
  <c r="EL1" i="6"/>
  <c r="EM1" i="6"/>
  <c r="EN1" i="6"/>
  <c r="EO1" i="6"/>
  <c r="EP1" i="6"/>
  <c r="EQ1" i="6"/>
  <c r="ER1" i="6"/>
  <c r="ES1" i="6"/>
  <c r="ET1" i="6"/>
  <c r="EU1" i="6"/>
  <c r="EV1" i="6"/>
  <c r="EW1" i="6"/>
  <c r="EX1" i="6"/>
  <c r="EY1" i="6"/>
  <c r="EZ1" i="6"/>
  <c r="FA1" i="6"/>
  <c r="FB1" i="6"/>
  <c r="FC1" i="6"/>
  <c r="FD1" i="6"/>
  <c r="FE1" i="6"/>
  <c r="FF1" i="6"/>
  <c r="FG1" i="6"/>
  <c r="FH1" i="6"/>
  <c r="FI1" i="6"/>
  <c r="FJ1" i="6"/>
  <c r="FK1" i="6"/>
  <c r="FL1" i="6"/>
  <c r="FM1" i="6"/>
  <c r="FN1" i="6"/>
  <c r="FO1" i="6"/>
  <c r="FP1" i="6"/>
  <c r="FQ1" i="6"/>
  <c r="FR1" i="6"/>
  <c r="FS1" i="6"/>
  <c r="FT1" i="6"/>
  <c r="FU1" i="6"/>
  <c r="FV1" i="6"/>
  <c r="FW1" i="6"/>
  <c r="FX1" i="6"/>
  <c r="FY1" i="6"/>
  <c r="FZ1" i="6"/>
  <c r="GA1" i="6"/>
  <c r="GB1" i="6"/>
  <c r="GC1" i="6"/>
  <c r="GD1" i="6"/>
  <c r="GE1" i="6"/>
  <c r="GF1" i="6"/>
  <c r="GG1" i="6"/>
  <c r="GH1" i="6"/>
  <c r="GI1" i="6"/>
  <c r="GJ1" i="6"/>
  <c r="GK1" i="6"/>
  <c r="GL1" i="6"/>
  <c r="GM1" i="6"/>
  <c r="GN1" i="6"/>
  <c r="GO1" i="6"/>
  <c r="GP1" i="6"/>
  <c r="GQ1" i="6"/>
  <c r="GR1" i="6"/>
  <c r="GS1" i="6"/>
  <c r="GT1" i="6"/>
  <c r="GU1" i="6"/>
  <c r="GV1" i="6"/>
  <c r="GW1" i="6"/>
  <c r="GX1" i="6"/>
  <c r="GY1" i="6"/>
  <c r="GZ1" i="6"/>
  <c r="HA1" i="6"/>
  <c r="HB1" i="6"/>
  <c r="HC1" i="6"/>
  <c r="HD1" i="6"/>
  <c r="HE1" i="6"/>
  <c r="HF1" i="6"/>
  <c r="HG1" i="6"/>
  <c r="HH1" i="6"/>
  <c r="HI1" i="6"/>
  <c r="HJ1" i="6"/>
  <c r="HK1" i="6"/>
  <c r="HL1" i="6"/>
  <c r="HM1" i="6"/>
  <c r="HN1" i="6"/>
  <c r="HO1" i="6"/>
  <c r="HP1" i="6"/>
  <c r="HQ1" i="6"/>
  <c r="HR1" i="6"/>
  <c r="HS1" i="6"/>
  <c r="HT1" i="6"/>
  <c r="HU1" i="6"/>
  <c r="HV1" i="6"/>
  <c r="HW1" i="6"/>
  <c r="HX1" i="6"/>
  <c r="HY1" i="6"/>
  <c r="HZ1" i="6"/>
  <c r="IA1" i="6"/>
  <c r="IB1" i="6"/>
  <c r="IC1" i="6"/>
  <c r="ID1" i="6"/>
  <c r="IE1" i="6"/>
  <c r="IF1" i="6"/>
  <c r="IG1" i="6"/>
  <c r="IH1" i="6"/>
  <c r="II1" i="6"/>
  <c r="IJ1" i="6"/>
  <c r="IK1" i="6"/>
  <c r="IL1" i="6"/>
  <c r="IM1" i="6"/>
  <c r="IN1" i="6"/>
  <c r="IO1" i="6"/>
  <c r="IP1" i="6"/>
  <c r="IQ1" i="6"/>
  <c r="IR1" i="6"/>
  <c r="IS1" i="6"/>
  <c r="IT1" i="6"/>
  <c r="IU1" i="6"/>
  <c r="IV1" i="6"/>
</calcChain>
</file>

<file path=xl/sharedStrings.xml><?xml version="1.0" encoding="utf-8"?>
<sst xmlns="http://schemas.openxmlformats.org/spreadsheetml/2006/main" count="625" uniqueCount="322">
  <si>
    <t>Naturfag 5 Brandt m.fl. 2011</t>
  </si>
  <si>
    <t xml:space="preserve"> </t>
  </si>
  <si>
    <t>2.1 Vekst i en plantepopulasjon</t>
  </si>
  <si>
    <t>– Flytende plantegjødsel</t>
  </si>
  <si>
    <t>– Andematplanter</t>
  </si>
  <si>
    <t>2.2 Suksesjon på en hogstflate</t>
  </si>
  <si>
    <t>2.3 Gjengroing av et tjern</t>
  </si>
  <si>
    <t>2.4 Smådyr i jorda</t>
  </si>
  <si>
    <t>3.1 Molekylmodeller av næringsstoffene</t>
  </si>
  <si>
    <t>– Saks</t>
  </si>
  <si>
    <t>– Lim</t>
  </si>
  <si>
    <t>– Tusj</t>
  </si>
  <si>
    <t>3.2 Karbohydrattest</t>
  </si>
  <si>
    <t>– Et utvalg næringsmidler;</t>
  </si>
  <si>
    <t>3.3 Påvisning av stivelse i matvarer</t>
  </si>
  <si>
    <t>3.4 Påvisning av protein (biurettest)</t>
  </si>
  <si>
    <t>3.5 Bestemmelse av fettinnholdet i potetgull</t>
  </si>
  <si>
    <t>4.1 Enzymvirkning i magesekken –</t>
  </si>
  <si>
    <t>– Kokt eggehvite eller kjøtt</t>
  </si>
  <si>
    <t>4.2 Energi i peanøtter</t>
  </si>
  <si>
    <t>4.3 Hudkrem</t>
  </si>
  <si>
    <t>5.1 Spektre</t>
  </si>
  <si>
    <t>5.2 Absorpsjonslinjer i solspekteret</t>
  </si>
  <si>
    <t>5.3 Stjernehimmelen</t>
  </si>
  <si>
    <t>5.4 Drivhuseffekt</t>
  </si>
  <si>
    <t>– Plastfolie</t>
  </si>
  <si>
    <t>– To like store plastbokser</t>
  </si>
  <si>
    <t>– To isblokker</t>
  </si>
  <si>
    <t>– To steinblokker</t>
  </si>
  <si>
    <t>– Vann</t>
  </si>
  <si>
    <t>Geigerteller</t>
  </si>
  <si>
    <t>6.2 Kan du påvise radongass med sporfilm?</t>
  </si>
  <si>
    <t>6.3 Halveringstid med terningkast</t>
  </si>
  <si>
    <t>7.1 Isolering av DNA fra frukt eller grønnsaker</t>
  </si>
  <si>
    <t>– En løk, hvitløk, banan</t>
  </si>
  <si>
    <t>– Sjampo</t>
  </si>
  <si>
    <t>– Isbiter</t>
  </si>
  <si>
    <t>7.2 Noen enkle arvelighetsforhold hos mennesket</t>
  </si>
  <si>
    <t>7.3 Bestemmelse av blodtype</t>
  </si>
  <si>
    <t>– Tannstikkere/fyrstikker</t>
  </si>
  <si>
    <t>7.4 Modellforsøk av proteinsyntesen</t>
  </si>
  <si>
    <t>– Teip</t>
  </si>
  <si>
    <t>8.1 Vi lager yoghurt</t>
  </si>
  <si>
    <t>– Helmelk</t>
  </si>
  <si>
    <t>– Tørrmelk</t>
  </si>
  <si>
    <t>– Yoghurt naturell</t>
  </si>
  <si>
    <t>8.2 Gjæring</t>
  </si>
  <si>
    <t>– Hvetemel</t>
  </si>
  <si>
    <t>– Sukker</t>
  </si>
  <si>
    <t>– Gjær</t>
  </si>
  <si>
    <t>9.2 Solcellen</t>
  </si>
  <si>
    <t>10.1 Hva skjer når stearinlyset brenner?</t>
  </si>
  <si>
    <t>– Glassplate</t>
  </si>
  <si>
    <t>– Syltetøyglass med lokk</t>
  </si>
  <si>
    <t>10.2 Galvanisk celle og diode</t>
  </si>
  <si>
    <t>– Sandpapir</t>
  </si>
  <si>
    <t>10.3 Blyakkumulatoren</t>
  </si>
  <si>
    <t>10.4 Elektrolyse av kobberkloridløsning</t>
  </si>
  <si>
    <t>10.5 Brenselscellen</t>
  </si>
  <si>
    <t>1.1 Måling av reaksjonstid</t>
  </si>
  <si>
    <t>1.2 Forbrenning</t>
  </si>
  <si>
    <t>1.3 Modeller av skjulte gjenstander</t>
  </si>
  <si>
    <t>6.1 Måling av stråling fra radioaktive kilder med geigerteller</t>
  </si>
  <si>
    <t>Reaksjonstidstav</t>
  </si>
  <si>
    <t>Nummerisk liste</t>
  </si>
  <si>
    <t>Vekt 200 g/0,01 g Kern</t>
  </si>
  <si>
    <t>Porselensskål Ø 80 mm</t>
  </si>
  <si>
    <t>027515</t>
  </si>
  <si>
    <t>Fyrstikker</t>
  </si>
  <si>
    <t>Stålull uten såpe</t>
  </si>
  <si>
    <t>590400</t>
  </si>
  <si>
    <t>005600</t>
  </si>
  <si>
    <t>Digeltang</t>
  </si>
  <si>
    <t>035000</t>
  </si>
  <si>
    <t>Etanol denaturert 93% 1 liter</t>
  </si>
  <si>
    <t>827000-4</t>
  </si>
  <si>
    <t>Vernebriller med stang</t>
  </si>
  <si>
    <t>085000</t>
  </si>
  <si>
    <t>Akvarium/terrarium i plast 1,5 l</t>
  </si>
  <si>
    <t>761501</t>
  </si>
  <si>
    <t>Gyldendals nordiske feltflora</t>
  </si>
  <si>
    <t>671049</t>
  </si>
  <si>
    <t>Målebånd i glassfiber, 30 m</t>
  </si>
  <si>
    <t>Stereolupe 40C</t>
  </si>
  <si>
    <t>077041</t>
  </si>
  <si>
    <t>Bestemmelsesduk smådyr på land</t>
  </si>
  <si>
    <t>Mininøkkel smådyr på land</t>
  </si>
  <si>
    <t>Plastbakke 70 x 45 x 18 cm</t>
  </si>
  <si>
    <t>052037</t>
  </si>
  <si>
    <t>671002</t>
  </si>
  <si>
    <t>671032</t>
  </si>
  <si>
    <t>Foldelupe 10 x stor</t>
  </si>
  <si>
    <t>078424</t>
  </si>
  <si>
    <t>Insektpinsett</t>
  </si>
  <si>
    <t>078809</t>
  </si>
  <si>
    <t>Plastboks, klar, firkantet, 300 ml</t>
  </si>
  <si>
    <t>053007</t>
  </si>
  <si>
    <t>Petriskål i plast Ø 90 mm, pk a 20 stk</t>
  </si>
  <si>
    <t>016610</t>
  </si>
  <si>
    <t xml:space="preserve">Alternativ </t>
  </si>
  <si>
    <t>Førnetrakt</t>
  </si>
  <si>
    <t>767700</t>
  </si>
  <si>
    <t>Pensel</t>
  </si>
  <si>
    <t>078638</t>
  </si>
  <si>
    <t>– Farget papp</t>
  </si>
  <si>
    <t>Molekylbyggesett Molymod 001</t>
  </si>
  <si>
    <t>526000</t>
  </si>
  <si>
    <t>Fruktose 800 g</t>
  </si>
  <si>
    <t>830400-4</t>
  </si>
  <si>
    <t>Sakkarose (rørsukker) 500 g</t>
  </si>
  <si>
    <t>882500-3</t>
  </si>
  <si>
    <t>Stivelse vannløselig 800 g</t>
  </si>
  <si>
    <t>884700-4</t>
  </si>
  <si>
    <t>Fehling A 1000 ml</t>
  </si>
  <si>
    <t>829700-4</t>
  </si>
  <si>
    <t>Fehling B 1000 ml</t>
  </si>
  <si>
    <t>829702-4</t>
  </si>
  <si>
    <t>Reagensrør DURAN Ø 18 x 180 mm</t>
  </si>
  <si>
    <t>012130</t>
  </si>
  <si>
    <t>Reagensrørstativ tråd for 12 rør</t>
  </si>
  <si>
    <t>031060</t>
  </si>
  <si>
    <t>Vannbad 4 l</t>
  </si>
  <si>
    <t>066600</t>
  </si>
  <si>
    <t>Begerglass 600 ml lf DURAN</t>
  </si>
  <si>
    <t>007540</t>
  </si>
  <si>
    <t>Trefot 22 cm</t>
  </si>
  <si>
    <t>004110</t>
  </si>
  <si>
    <t>Keramisk trådnett</t>
  </si>
  <si>
    <t>033600</t>
  </si>
  <si>
    <t>Gassboks for gassbrenner</t>
  </si>
  <si>
    <t>005155</t>
  </si>
  <si>
    <t>005111</t>
  </si>
  <si>
    <t>Gassbrenner</t>
  </si>
  <si>
    <t>007430</t>
  </si>
  <si>
    <t>Begerglass 250 ml økonomi</t>
  </si>
  <si>
    <t>Vannbad 7 l</t>
  </si>
  <si>
    <t>066602</t>
  </si>
  <si>
    <t>Parafin fast 1000 g</t>
  </si>
  <si>
    <t>876400-4</t>
  </si>
  <si>
    <t>Paraffin flytende, Paraffinolje 1000 ml</t>
  </si>
  <si>
    <t>876500-4</t>
  </si>
  <si>
    <t>Oktadekansyre ren 500 g</t>
  </si>
  <si>
    <t>884200-3</t>
  </si>
  <si>
    <t>Oktadekanol 250 g</t>
  </si>
  <si>
    <t>884400-2</t>
  </si>
  <si>
    <t>Alternativ</t>
  </si>
  <si>
    <t>Hudkrempakke Brandt Na</t>
  </si>
  <si>
    <t>Trietanolamin 500 ml</t>
  </si>
  <si>
    <t>888700-3</t>
  </si>
  <si>
    <t>Glyserol (1,2,3-propantriol) 86% 1000 ml</t>
  </si>
  <si>
    <t>832100-4</t>
  </si>
  <si>
    <t>Benzosyre 1000 g</t>
  </si>
  <si>
    <t>808500-4</t>
  </si>
  <si>
    <t>Lavendelolje 30 ml</t>
  </si>
  <si>
    <t>Glasstav, rørepinne Ø 6 x 200 mm</t>
  </si>
  <si>
    <t>Termometer -20-110°C 1/1 sprit</t>
  </si>
  <si>
    <t>058225</t>
  </si>
  <si>
    <t>Salvebeger, kremkrukke, 50 ml</t>
  </si>
  <si>
    <t>053215</t>
  </si>
  <si>
    <t>Spatel 15 cm</t>
  </si>
  <si>
    <t>049600</t>
  </si>
  <si>
    <t>Håndspektroskop med skala</t>
  </si>
  <si>
    <t>Telys pk a 100</t>
  </si>
  <si>
    <t>005310</t>
  </si>
  <si>
    <t>Natrium metall 100 g</t>
  </si>
  <si>
    <t>Forbrenningsskje</t>
  </si>
  <si>
    <t>036010</t>
  </si>
  <si>
    <t>Spektralrør Nitrogen</t>
  </si>
  <si>
    <t>Spektralrør Neon</t>
  </si>
  <si>
    <t>285000</t>
  </si>
  <si>
    <t>Spektralrørholder m trafo</t>
  </si>
  <si>
    <t>spektralrør Helium</t>
  </si>
  <si>
    <t>Spektralrør Argon</t>
  </si>
  <si>
    <t>GM-rør på stang BNC</t>
  </si>
  <si>
    <t>Oppstillingsbenk for GM-rør og kilder</t>
  </si>
  <si>
    <t>Preparatsett, alfa-beta-gamma i holder</t>
  </si>
  <si>
    <t>510000</t>
  </si>
  <si>
    <t>– En pappsylinder på ca. 0,5 m</t>
  </si>
  <si>
    <t>PTC smakspapir, pk a 100</t>
  </si>
  <si>
    <t>Blodserum anti-A og anti-B</t>
  </si>
  <si>
    <t>Blodserum anti-D, 10 ml</t>
  </si>
  <si>
    <t>Alternativ:</t>
  </si>
  <si>
    <t>Fingerstikker pk a 100</t>
  </si>
  <si>
    <t>Eldonkort m fingerstikkere pk a 50</t>
  </si>
  <si>
    <t>Steriliserende servietter 100 stk</t>
  </si>
  <si>
    <t>Objektglass pk a 50</t>
  </si>
  <si>
    <t>078610</t>
  </si>
  <si>
    <t>Engangshanske pudderfri pk a 100 medium</t>
  </si>
  <si>
    <t>086047</t>
  </si>
  <si>
    <t>Halogenlampe, 105 W</t>
  </si>
  <si>
    <t>Solcelle 0,5 V</t>
  </si>
  <si>
    <t>Voltmeter digitalt</t>
  </si>
  <si>
    <t>020600</t>
  </si>
  <si>
    <t>Glødelampe E10 1,5V 90mA pk a 10</t>
  </si>
  <si>
    <t>Lampeholder E10</t>
  </si>
  <si>
    <t>Ledning med bananstikk 25 cm rød</t>
  </si>
  <si>
    <t>Vann, demineralisert 2500 ml</t>
  </si>
  <si>
    <t>890300-5</t>
  </si>
  <si>
    <t>Brenselcelle sett Heliocentris</t>
  </si>
  <si>
    <t>Jod-kaliumjodid 500 ml</t>
  </si>
  <si>
    <t>841600-3</t>
  </si>
  <si>
    <t>Dråpeteller m/smokk</t>
  </si>
  <si>
    <t>014520</t>
  </si>
  <si>
    <t>Kobber(II)sulfat 5-hydrat 1000 g</t>
  </si>
  <si>
    <t>854510-4</t>
  </si>
  <si>
    <t>Natriumhydroksid 2 M 1000 ml</t>
  </si>
  <si>
    <t>868620-4</t>
  </si>
  <si>
    <t>Aceton (propanon) 1000 ml</t>
  </si>
  <si>
    <t>– Potetgull</t>
  </si>
  <si>
    <t>Porselenmorter Ø 100 mm m/pistill</t>
  </si>
  <si>
    <t>030000</t>
  </si>
  <si>
    <t>Porselensskål Ø 100 mm</t>
  </si>
  <si>
    <t>027525</t>
  </si>
  <si>
    <t>Trakt i glass 100 mm</t>
  </si>
  <si>
    <t>017030</t>
  </si>
  <si>
    <t>Foldefilter 150 mm, pk a 100</t>
  </si>
  <si>
    <t>041550</t>
  </si>
  <si>
    <t>Erlenmeyerkolbe 250 ml økonomi</t>
  </si>
  <si>
    <t>007910</t>
  </si>
  <si>
    <t>Målesylinder 50 ml</t>
  </si>
  <si>
    <t>011040</t>
  </si>
  <si>
    <t>Kokeplate enkel, 1500 W</t>
  </si>
  <si>
    <t>066810</t>
  </si>
  <si>
    <t>Parafilm 5 x 7500 cm</t>
  </si>
  <si>
    <t>042200</t>
  </si>
  <si>
    <t>Saltsyre 10% 3,2 M 1000 ml</t>
  </si>
  <si>
    <t>883210-4</t>
  </si>
  <si>
    <t>Pepsin 25 g</t>
  </si>
  <si>
    <t>– Store peanøtter</t>
  </si>
  <si>
    <t>Begerglass 50 ml økonomi</t>
  </si>
  <si>
    <t>007410</t>
  </si>
  <si>
    <t>Målesylinder 25 ml</t>
  </si>
  <si>
    <t>011030</t>
  </si>
  <si>
    <t>Stativfot, plate m stang</t>
  </si>
  <si>
    <t>001100</t>
  </si>
  <si>
    <t>Stillbar spalt m/holder</t>
  </si>
  <si>
    <t>323000</t>
  </si>
  <si>
    <t>Prisme rettsiktig</t>
  </si>
  <si>
    <t>– Glassplate, min. 30x30 cm</t>
  </si>
  <si>
    <t>– Sollys eller en annen lyskilde</t>
  </si>
  <si>
    <t>Sporfilmpakke LR115</t>
  </si>
  <si>
    <t>Kodalpha Radondosimeter</t>
  </si>
  <si>
    <t>Terninger pk a 100</t>
  </si>
  <si>
    <t>2-propanol (isopropanol) 1000 ml</t>
  </si>
  <si>
    <t>842000-4</t>
  </si>
  <si>
    <t>Engangssprøyte plast 20 ml 25 stk</t>
  </si>
  <si>
    <t>022030</t>
  </si>
  <si>
    <t>Natriumklorid 1000 g</t>
  </si>
  <si>
    <t>866700-4</t>
  </si>
  <si>
    <t>Natriumhydrogenkarbonat (natron) 1000 g</t>
  </si>
  <si>
    <t>867800-4</t>
  </si>
  <si>
    <t>Sentrifuge Nuve 12 x 15 ml rør</t>
  </si>
  <si>
    <t>Sentrifugerør konisk 17 x 112 mm</t>
  </si>
  <si>
    <t>067411</t>
  </si>
  <si>
    <t>067900</t>
  </si>
  <si>
    <t>Målesylinder 250 ml</t>
  </si>
  <si>
    <t>011260</t>
  </si>
  <si>
    <t>Teskje i plast 110 mm pk a 50</t>
  </si>
  <si>
    <t>051500</t>
  </si>
  <si>
    <t>670145</t>
  </si>
  <si>
    <t>Begerglass 100 ml økonomi</t>
  </si>
  <si>
    <t>007420</t>
  </si>
  <si>
    <t>Fullpipette 10 ml</t>
  </si>
  <si>
    <t>013540</t>
  </si>
  <si>
    <t>Pipetteballong peleus</t>
  </si>
  <si>
    <t>015200</t>
  </si>
  <si>
    <t>– Kopier av kopieringsoriginalene</t>
  </si>
  <si>
    <t>– Papirbiter med flere farger</t>
  </si>
  <si>
    <t>pH-papir 1-12 100 strips</t>
  </si>
  <si>
    <t>Målemugge i plast 500 ml</t>
  </si>
  <si>
    <t>146500</t>
  </si>
  <si>
    <t>Aluminium, folie 20 m</t>
  </si>
  <si>
    <t>Bakteriologiskap 58 l B 8054</t>
  </si>
  <si>
    <t>Engangshanske pudderfri pk a 100 small</t>
  </si>
  <si>
    <t>086046</t>
  </si>
  <si>
    <t>Målesylinder 100 ml</t>
  </si>
  <si>
    <t>011050</t>
  </si>
  <si>
    <t>Kalkvann 1000 ml</t>
  </si>
  <si>
    <t>852200-4</t>
  </si>
  <si>
    <t>Petriskål i glass Ø 100 mm pk a 10</t>
  </si>
  <si>
    <t>016530</t>
  </si>
  <si>
    <t>Kobber(II)sulfat 1 M 1000 ml</t>
  </si>
  <si>
    <t>854710-4</t>
  </si>
  <si>
    <t>Natriumsulfat 10-hydrat 1000 g</t>
  </si>
  <si>
    <t>870400-4</t>
  </si>
  <si>
    <t>Magnesiumbånd, rull 25 g</t>
  </si>
  <si>
    <t>– oasis</t>
  </si>
  <si>
    <t xml:space="preserve">– Liten grafittstav </t>
  </si>
  <si>
    <t>Lysdiode rød 5 mm 20mA 100 stk</t>
  </si>
  <si>
    <t>Elektrodeplate bly vinkelbøyd</t>
  </si>
  <si>
    <t>Krokodilleklemmer, pk a 100</t>
  </si>
  <si>
    <t>Svovelsyre 1M 1000 ml</t>
  </si>
  <si>
    <t>885610-4</t>
  </si>
  <si>
    <t>Batteri, 3R12U 4,5 V</t>
  </si>
  <si>
    <t>Kobber(II)klorid dihydrat 500 g</t>
  </si>
  <si>
    <t>853500-3</t>
  </si>
  <si>
    <t>Lakmuspapir, blått 100 strips</t>
  </si>
  <si>
    <t>Lakmuspapir, rødt 100 strips</t>
  </si>
  <si>
    <t>Glasskål rund Ø 15 cm</t>
  </si>
  <si>
    <t>015800</t>
  </si>
  <si>
    <t>Stavelektrode kull pk a 10</t>
  </si>
  <si>
    <t>– Plastilina</t>
  </si>
  <si>
    <t xml:space="preserve">Vi kan utarbeide spesifisert tilbud etter angivelse av antall elever/grupper. </t>
  </si>
  <si>
    <t>Kontakt oss på kundeservice@kptkomet.no, eller ring 71588900.</t>
  </si>
  <si>
    <t>AAAAAH/f/YU=</t>
  </si>
  <si>
    <t>AAAAAH/f/YY=</t>
  </si>
  <si>
    <t>Varenummer</t>
  </si>
  <si>
    <t>Varenavn</t>
  </si>
  <si>
    <t>527565</t>
  </si>
  <si>
    <t>DNA 22 lags byggesett Molymod</t>
  </si>
  <si>
    <t>527570</t>
  </si>
  <si>
    <t>Proteinsyntese, modell</t>
  </si>
  <si>
    <t>Anbefalt alternativ:</t>
  </si>
  <si>
    <t>De to modellbyggesettene kombineres for å vise de to trinnene i proteinsyntesen: transkripsjon (fra DNA til mRNA) og translasjon (fra mRNA til protein)</t>
  </si>
  <si>
    <t>Glasstav, rørepinne Ø 7 x 200 mm</t>
  </si>
  <si>
    <t>140016</t>
  </si>
  <si>
    <t xml:space="preserve">Ta gjerne kontakt dersom du ønsker råd og veiledning. </t>
  </si>
  <si>
    <t>Det forutsettes at nødvendig sikkerhetsutstyr forefinnes på laboratoriet. Husk vernebriller.</t>
  </si>
  <si>
    <t>Første del av listen viser utstyr som behøves for de forskjellige forsøk. Nederst finner du en summarisk liste med priser.</t>
  </si>
  <si>
    <t>832500-3</t>
  </si>
  <si>
    <t>Glukose 500 g</t>
  </si>
  <si>
    <t>785012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</si>
</sst>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49" fontId="5" fillId="0" borderId="0" xfId="2" applyNumberFormat="1" applyBorder="1" applyAlignment="1">
      <alignment horizontal="right"/>
    </xf>
    <xf numFmtId="0" fontId="5" fillId="0" borderId="0" xfId="2" applyFill="1" applyBorder="1"/>
    <xf numFmtId="0" fontId="5" fillId="0" borderId="0" xfId="2" applyBorder="1"/>
    <xf numFmtId="0" fontId="1" fillId="0" borderId="0" xfId="1" applyFill="1" applyBorder="1"/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1" applyFont="1"/>
  </cellXfs>
  <cellStyles count="4">
    <cellStyle name="Hyperkobling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180975</xdr:rowOff>
    </xdr:from>
    <xdr:to>
      <xdr:col>2</xdr:col>
      <xdr:colOff>95250</xdr:colOff>
      <xdr:row>12</xdr:row>
      <xdr:rowOff>19050</xdr:rowOff>
    </xdr:to>
    <xdr:pic>
      <xdr:nvPicPr>
        <xdr:cNvPr id="1038" name="Bild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19100"/>
          <a:ext cx="15335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496"/>
  <sheetViews>
    <sheetView tabSelected="1" topLeftCell="A196" workbookViewId="0">
      <selection activeCell="B211" sqref="B211"/>
    </sheetView>
  </sheetViews>
  <sheetFormatPr defaultColWidth="10.85546875" defaultRowHeight="15" x14ac:dyDescent="0.25"/>
  <cols>
    <col min="1" max="1" width="15.140625" style="6" customWidth="1"/>
    <col min="4" max="4" width="20.140625" customWidth="1"/>
    <col min="5" max="5" width="18.140625" style="14" customWidth="1"/>
  </cols>
  <sheetData>
    <row r="1" spans="1:5" s="2" customFormat="1" ht="18.75" x14ac:dyDescent="0.3">
      <c r="A1" s="12" t="s">
        <v>0</v>
      </c>
      <c r="E1" s="13"/>
    </row>
    <row r="2" spans="1:5" s="2" customFormat="1" ht="18.75" x14ac:dyDescent="0.3">
      <c r="A2" s="4"/>
      <c r="E2" s="13"/>
    </row>
    <row r="3" spans="1:5" s="2" customFormat="1" ht="18.75" x14ac:dyDescent="0.3">
      <c r="A3" s="4"/>
      <c r="E3" s="13"/>
    </row>
    <row r="4" spans="1:5" s="2" customFormat="1" ht="18.75" x14ac:dyDescent="0.3">
      <c r="A4" s="4"/>
      <c r="E4" s="13"/>
    </row>
    <row r="5" spans="1:5" s="2" customFormat="1" ht="18.75" x14ac:dyDescent="0.3">
      <c r="A5" s="4"/>
      <c r="E5" s="13"/>
    </row>
    <row r="6" spans="1:5" s="2" customFormat="1" ht="18.75" x14ac:dyDescent="0.3">
      <c r="A6" s="4"/>
      <c r="E6" s="13"/>
    </row>
    <row r="10" spans="1:5" ht="15.75" x14ac:dyDescent="0.25">
      <c r="A10" s="5" t="s">
        <v>1</v>
      </c>
    </row>
    <row r="11" spans="1:5" ht="15.75" x14ac:dyDescent="0.25">
      <c r="A11" s="5"/>
    </row>
    <row r="12" spans="1:5" ht="15.75" x14ac:dyDescent="0.25">
      <c r="A12" s="5"/>
    </row>
    <row r="15" spans="1:5" x14ac:dyDescent="0.25">
      <c r="A15" s="11" t="s">
        <v>317</v>
      </c>
    </row>
    <row r="17" spans="1:5" x14ac:dyDescent="0.25">
      <c r="A17" s="11" t="s">
        <v>302</v>
      </c>
    </row>
    <row r="18" spans="1:5" x14ac:dyDescent="0.25">
      <c r="A18" s="11" t="s">
        <v>316</v>
      </c>
    </row>
    <row r="19" spans="1:5" x14ac:dyDescent="0.25">
      <c r="A19" s="11" t="s">
        <v>303</v>
      </c>
    </row>
    <row r="20" spans="1:5" x14ac:dyDescent="0.25">
      <c r="A20" s="11"/>
    </row>
    <row r="21" spans="1:5" x14ac:dyDescent="0.25">
      <c r="A21" s="11" t="s">
        <v>318</v>
      </c>
    </row>
    <row r="24" spans="1:5" s="1" customFormat="1" ht="15.75" x14ac:dyDescent="0.25">
      <c r="A24" s="7" t="s">
        <v>59</v>
      </c>
      <c r="E24" s="15"/>
    </row>
    <row r="26" spans="1:5" x14ac:dyDescent="0.25">
      <c r="A26" s="6" t="s">
        <v>321</v>
      </c>
      <c r="B26" s="3" t="s">
        <v>63</v>
      </c>
    </row>
    <row r="28" spans="1:5" ht="15.75" x14ac:dyDescent="0.25">
      <c r="A28" s="7" t="s">
        <v>60</v>
      </c>
    </row>
    <row r="30" spans="1:5" x14ac:dyDescent="0.25">
      <c r="A30" s="6">
        <v>102950</v>
      </c>
      <c r="B30" s="3" t="s">
        <v>65</v>
      </c>
    </row>
    <row r="31" spans="1:5" x14ac:dyDescent="0.25">
      <c r="A31" s="6" t="s">
        <v>67</v>
      </c>
      <c r="B31" s="3" t="s">
        <v>66</v>
      </c>
    </row>
    <row r="32" spans="1:5" x14ac:dyDescent="0.25">
      <c r="A32" s="6" t="s">
        <v>71</v>
      </c>
      <c r="B32" s="3" t="s">
        <v>68</v>
      </c>
    </row>
    <row r="33" spans="1:5" x14ac:dyDescent="0.25">
      <c r="A33" s="6" t="s">
        <v>70</v>
      </c>
      <c r="B33" s="3" t="s">
        <v>69</v>
      </c>
    </row>
    <row r="34" spans="1:5" x14ac:dyDescent="0.25">
      <c r="A34" s="6" t="s">
        <v>73</v>
      </c>
      <c r="B34" s="3" t="s">
        <v>72</v>
      </c>
    </row>
    <row r="35" spans="1:5" x14ac:dyDescent="0.25">
      <c r="A35" s="8" t="s">
        <v>75</v>
      </c>
      <c r="B35" s="3" t="s">
        <v>74</v>
      </c>
    </row>
    <row r="36" spans="1:5" x14ac:dyDescent="0.25">
      <c r="A36" s="6" t="s">
        <v>77</v>
      </c>
      <c r="B36" s="3" t="s">
        <v>76</v>
      </c>
    </row>
    <row r="38" spans="1:5" ht="15.75" x14ac:dyDescent="0.25">
      <c r="A38" s="7" t="s">
        <v>61</v>
      </c>
      <c r="E38" s="14" t="s">
        <v>1</v>
      </c>
    </row>
    <row r="40" spans="1:5" s="10" customFormat="1" x14ac:dyDescent="0.25">
      <c r="A40" s="9"/>
      <c r="B40" s="10" t="s">
        <v>301</v>
      </c>
      <c r="E40" s="16"/>
    </row>
    <row r="42" spans="1:5" ht="15.75" x14ac:dyDescent="0.25">
      <c r="A42" s="7" t="s">
        <v>2</v>
      </c>
    </row>
    <row r="44" spans="1:5" x14ac:dyDescent="0.25">
      <c r="A44" s="6" t="s">
        <v>79</v>
      </c>
      <c r="B44" s="3" t="s">
        <v>78</v>
      </c>
    </row>
    <row r="45" spans="1:5" x14ac:dyDescent="0.25">
      <c r="B45" t="s">
        <v>3</v>
      </c>
    </row>
    <row r="46" spans="1:5" x14ac:dyDescent="0.25">
      <c r="B46" t="s">
        <v>4</v>
      </c>
    </row>
    <row r="48" spans="1:5" ht="15.75" x14ac:dyDescent="0.25">
      <c r="A48" s="7" t="s">
        <v>5</v>
      </c>
    </row>
    <row r="50" spans="1:2" x14ac:dyDescent="0.25">
      <c r="B50" s="3"/>
    </row>
    <row r="52" spans="1:2" ht="15.75" x14ac:dyDescent="0.25">
      <c r="A52" s="7" t="s">
        <v>6</v>
      </c>
    </row>
    <row r="54" spans="1:2" x14ac:dyDescent="0.25">
      <c r="B54" s="3"/>
    </row>
    <row r="55" spans="1:2" x14ac:dyDescent="0.25">
      <c r="A55" s="6">
        <v>140016</v>
      </c>
      <c r="B55" s="3" t="s">
        <v>82</v>
      </c>
    </row>
    <row r="57" spans="1:2" ht="15.75" x14ac:dyDescent="0.25">
      <c r="A57" s="7" t="s">
        <v>7</v>
      </c>
    </row>
    <row r="59" spans="1:2" x14ac:dyDescent="0.25">
      <c r="A59" s="6" t="s">
        <v>98</v>
      </c>
      <c r="B59" s="3" t="s">
        <v>97</v>
      </c>
    </row>
    <row r="60" spans="1:2" x14ac:dyDescent="0.25">
      <c r="A60" s="6" t="s">
        <v>88</v>
      </c>
      <c r="B60" s="3" t="s">
        <v>87</v>
      </c>
    </row>
    <row r="61" spans="1:2" x14ac:dyDescent="0.25">
      <c r="A61" s="6" t="s">
        <v>96</v>
      </c>
      <c r="B61" s="3" t="s">
        <v>95</v>
      </c>
    </row>
    <row r="62" spans="1:2" x14ac:dyDescent="0.25">
      <c r="A62" s="6" t="s">
        <v>84</v>
      </c>
      <c r="B62" s="3" t="s">
        <v>83</v>
      </c>
    </row>
    <row r="63" spans="1:2" x14ac:dyDescent="0.25">
      <c r="A63" s="6" t="s">
        <v>92</v>
      </c>
      <c r="B63" s="3" t="s">
        <v>91</v>
      </c>
    </row>
    <row r="64" spans="1:2" x14ac:dyDescent="0.25">
      <c r="A64" s="6" t="s">
        <v>103</v>
      </c>
      <c r="B64" s="3" t="s">
        <v>102</v>
      </c>
    </row>
    <row r="65" spans="1:2" x14ac:dyDescent="0.25">
      <c r="A65" s="6" t="s">
        <v>94</v>
      </c>
      <c r="B65" s="3" t="s">
        <v>93</v>
      </c>
    </row>
    <row r="66" spans="1:2" x14ac:dyDescent="0.25">
      <c r="A66">
        <v>280110</v>
      </c>
      <c r="B66" s="3" t="s">
        <v>189</v>
      </c>
    </row>
    <row r="67" spans="1:2" x14ac:dyDescent="0.25">
      <c r="A67" s="6" t="s">
        <v>89</v>
      </c>
      <c r="B67" s="3" t="s">
        <v>85</v>
      </c>
    </row>
    <row r="68" spans="1:2" x14ac:dyDescent="0.25">
      <c r="A68" s="6" t="s">
        <v>90</v>
      </c>
      <c r="B68" s="3" t="s">
        <v>86</v>
      </c>
    </row>
    <row r="70" spans="1:2" x14ac:dyDescent="0.25">
      <c r="B70" t="s">
        <v>99</v>
      </c>
    </row>
    <row r="71" spans="1:2" x14ac:dyDescent="0.25">
      <c r="A71" s="6" t="s">
        <v>101</v>
      </c>
      <c r="B71" s="3" t="s">
        <v>100</v>
      </c>
    </row>
    <row r="72" spans="1:2" x14ac:dyDescent="0.25">
      <c r="B72" s="3"/>
    </row>
    <row r="73" spans="1:2" ht="15.75" x14ac:dyDescent="0.25">
      <c r="A73" s="7" t="s">
        <v>8</v>
      </c>
    </row>
    <row r="74" spans="1:2" ht="15.75" x14ac:dyDescent="0.25">
      <c r="A74" s="7"/>
    </row>
    <row r="75" spans="1:2" x14ac:dyDescent="0.25">
      <c r="A75" s="6" t="s">
        <v>106</v>
      </c>
      <c r="B75" s="3" t="s">
        <v>105</v>
      </c>
    </row>
    <row r="76" spans="1:2" x14ac:dyDescent="0.25">
      <c r="B76" t="s">
        <v>104</v>
      </c>
    </row>
    <row r="77" spans="1:2" x14ac:dyDescent="0.25">
      <c r="B77" t="s">
        <v>9</v>
      </c>
    </row>
    <row r="78" spans="1:2" x14ac:dyDescent="0.25">
      <c r="B78" t="s">
        <v>10</v>
      </c>
    </row>
    <row r="79" spans="1:2" x14ac:dyDescent="0.25">
      <c r="B79" t="s">
        <v>11</v>
      </c>
    </row>
    <row r="81" spans="1:2" ht="15.75" x14ac:dyDescent="0.25">
      <c r="A81" s="7" t="s">
        <v>12</v>
      </c>
    </row>
    <row r="83" spans="1:2" x14ac:dyDescent="0.25">
      <c r="A83" s="6" t="s">
        <v>126</v>
      </c>
      <c r="B83" s="3" t="s">
        <v>125</v>
      </c>
    </row>
    <row r="84" spans="1:2" x14ac:dyDescent="0.25">
      <c r="A84" s="6" t="s">
        <v>131</v>
      </c>
      <c r="B84" s="3" t="s">
        <v>132</v>
      </c>
    </row>
    <row r="85" spans="1:2" x14ac:dyDescent="0.25">
      <c r="A85" s="6" t="s">
        <v>130</v>
      </c>
      <c r="B85" s="3" t="s">
        <v>129</v>
      </c>
    </row>
    <row r="86" spans="1:2" x14ac:dyDescent="0.25">
      <c r="A86" s="6" t="s">
        <v>124</v>
      </c>
      <c r="B86" s="3" t="s">
        <v>123</v>
      </c>
    </row>
    <row r="87" spans="1:2" x14ac:dyDescent="0.25">
      <c r="A87" s="6" t="s">
        <v>118</v>
      </c>
      <c r="B87" s="3" t="s">
        <v>117</v>
      </c>
    </row>
    <row r="88" spans="1:2" x14ac:dyDescent="0.25">
      <c r="A88" s="6" t="s">
        <v>120</v>
      </c>
      <c r="B88" s="3" t="s">
        <v>119</v>
      </c>
    </row>
    <row r="89" spans="1:2" x14ac:dyDescent="0.25">
      <c r="A89" s="6" t="s">
        <v>128</v>
      </c>
      <c r="B89" s="3" t="s">
        <v>127</v>
      </c>
    </row>
    <row r="90" spans="1:2" x14ac:dyDescent="0.25">
      <c r="A90" s="6" t="s">
        <v>122</v>
      </c>
      <c r="B90" s="3" t="s">
        <v>121</v>
      </c>
    </row>
    <row r="91" spans="1:2" x14ac:dyDescent="0.25">
      <c r="A91" s="6" t="s">
        <v>77</v>
      </c>
      <c r="B91" s="3" t="s">
        <v>76</v>
      </c>
    </row>
    <row r="92" spans="1:2" x14ac:dyDescent="0.25">
      <c r="A92" s="8" t="s">
        <v>114</v>
      </c>
      <c r="B92" s="3" t="s">
        <v>113</v>
      </c>
    </row>
    <row r="93" spans="1:2" x14ac:dyDescent="0.25">
      <c r="A93" s="8" t="s">
        <v>116</v>
      </c>
      <c r="B93" s="3" t="s">
        <v>115</v>
      </c>
    </row>
    <row r="94" spans="1:2" x14ac:dyDescent="0.25">
      <c r="A94" s="8" t="s">
        <v>108</v>
      </c>
      <c r="B94" s="3" t="s">
        <v>107</v>
      </c>
    </row>
    <row r="95" spans="1:2" x14ac:dyDescent="0.25">
      <c r="A95" s="8" t="s">
        <v>110</v>
      </c>
      <c r="B95" s="3" t="s">
        <v>109</v>
      </c>
    </row>
    <row r="96" spans="1:2" x14ac:dyDescent="0.25">
      <c r="A96" s="8" t="s">
        <v>112</v>
      </c>
      <c r="B96" s="3" t="s">
        <v>111</v>
      </c>
    </row>
    <row r="97" spans="1:2" x14ac:dyDescent="0.25">
      <c r="B97" t="s">
        <v>13</v>
      </c>
    </row>
    <row r="98" spans="1:2" x14ac:dyDescent="0.25">
      <c r="A98" s="6" t="s">
        <v>319</v>
      </c>
      <c r="B98" s="3" t="s">
        <v>320</v>
      </c>
    </row>
    <row r="99" spans="1:2" ht="15.75" x14ac:dyDescent="0.25">
      <c r="A99" s="7" t="s">
        <v>14</v>
      </c>
    </row>
    <row r="101" spans="1:2" x14ac:dyDescent="0.25">
      <c r="A101" s="6" t="s">
        <v>118</v>
      </c>
      <c r="B101" s="3" t="s">
        <v>117</v>
      </c>
    </row>
    <row r="102" spans="1:2" x14ac:dyDescent="0.25">
      <c r="A102" s="6" t="s">
        <v>202</v>
      </c>
      <c r="B102" s="3" t="s">
        <v>201</v>
      </c>
    </row>
    <row r="103" spans="1:2" x14ac:dyDescent="0.25">
      <c r="A103" s="6" t="s">
        <v>77</v>
      </c>
      <c r="B103" s="3" t="s">
        <v>76</v>
      </c>
    </row>
    <row r="104" spans="1:2" x14ac:dyDescent="0.25">
      <c r="A104" s="8" t="s">
        <v>200</v>
      </c>
      <c r="B104" s="3" t="s">
        <v>199</v>
      </c>
    </row>
    <row r="105" spans="1:2" x14ac:dyDescent="0.25">
      <c r="A105" s="8" t="s">
        <v>110</v>
      </c>
      <c r="B105" s="3" t="s">
        <v>109</v>
      </c>
    </row>
    <row r="106" spans="1:2" x14ac:dyDescent="0.25">
      <c r="A106" s="8" t="s">
        <v>112</v>
      </c>
      <c r="B106" s="3" t="s">
        <v>111</v>
      </c>
    </row>
    <row r="108" spans="1:2" ht="15.75" x14ac:dyDescent="0.25">
      <c r="A108" s="7" t="s">
        <v>15</v>
      </c>
    </row>
    <row r="110" spans="1:2" x14ac:dyDescent="0.25">
      <c r="A110" s="6" t="s">
        <v>118</v>
      </c>
      <c r="B110" s="3" t="s">
        <v>117</v>
      </c>
    </row>
    <row r="111" spans="1:2" x14ac:dyDescent="0.25">
      <c r="A111" s="6" t="s">
        <v>202</v>
      </c>
      <c r="B111" s="3" t="s">
        <v>201</v>
      </c>
    </row>
    <row r="112" spans="1:2" x14ac:dyDescent="0.25">
      <c r="A112" s="6" t="s">
        <v>77</v>
      </c>
      <c r="B112" s="3" t="s">
        <v>76</v>
      </c>
    </row>
    <row r="113" spans="1:2" x14ac:dyDescent="0.25">
      <c r="A113" s="8" t="s">
        <v>204</v>
      </c>
      <c r="B113" s="3" t="s">
        <v>203</v>
      </c>
    </row>
    <row r="114" spans="1:2" x14ac:dyDescent="0.25">
      <c r="A114" s="8" t="s">
        <v>206</v>
      </c>
      <c r="B114" s="3" t="s">
        <v>205</v>
      </c>
    </row>
    <row r="116" spans="1:2" ht="15.75" x14ac:dyDescent="0.25">
      <c r="A116" s="7" t="s">
        <v>16</v>
      </c>
    </row>
    <row r="118" spans="1:2" x14ac:dyDescent="0.25">
      <c r="A118" s="6" t="s">
        <v>218</v>
      </c>
      <c r="B118" s="3" t="s">
        <v>217</v>
      </c>
    </row>
    <row r="119" spans="1:2" x14ac:dyDescent="0.25">
      <c r="A119" s="6" t="s">
        <v>220</v>
      </c>
      <c r="B119" s="3" t="s">
        <v>219</v>
      </c>
    </row>
    <row r="120" spans="1:2" x14ac:dyDescent="0.25">
      <c r="A120" s="6" t="s">
        <v>214</v>
      </c>
      <c r="B120" s="3" t="s">
        <v>213</v>
      </c>
    </row>
    <row r="121" spans="1:2" x14ac:dyDescent="0.25">
      <c r="A121" s="6" t="s">
        <v>212</v>
      </c>
      <c r="B121" s="3" t="s">
        <v>211</v>
      </c>
    </row>
    <row r="122" spans="1:2" x14ac:dyDescent="0.25">
      <c r="A122" s="6" t="s">
        <v>210</v>
      </c>
      <c r="B122" s="3" t="s">
        <v>209</v>
      </c>
    </row>
    <row r="123" spans="1:2" x14ac:dyDescent="0.25">
      <c r="A123" s="6" t="s">
        <v>73</v>
      </c>
      <c r="B123" s="3" t="s">
        <v>72</v>
      </c>
    </row>
    <row r="124" spans="1:2" x14ac:dyDescent="0.25">
      <c r="A124" s="6" t="s">
        <v>216</v>
      </c>
      <c r="B124" s="3" t="s">
        <v>215</v>
      </c>
    </row>
    <row r="125" spans="1:2" x14ac:dyDescent="0.25">
      <c r="A125" s="6" t="s">
        <v>224</v>
      </c>
      <c r="B125" s="3" t="s">
        <v>223</v>
      </c>
    </row>
    <row r="126" spans="1:2" x14ac:dyDescent="0.25">
      <c r="A126" s="6" t="s">
        <v>222</v>
      </c>
      <c r="B126" s="3" t="s">
        <v>221</v>
      </c>
    </row>
    <row r="127" spans="1:2" x14ac:dyDescent="0.25">
      <c r="A127" s="6" t="s">
        <v>77</v>
      </c>
      <c r="B127" s="3" t="s">
        <v>76</v>
      </c>
    </row>
    <row r="128" spans="1:2" x14ac:dyDescent="0.25">
      <c r="A128" s="6">
        <v>102950</v>
      </c>
      <c r="B128" s="3" t="s">
        <v>65</v>
      </c>
    </row>
    <row r="129" spans="1:2" x14ac:dyDescent="0.25">
      <c r="A129">
        <v>800038</v>
      </c>
      <c r="B129" s="3" t="s">
        <v>207</v>
      </c>
    </row>
    <row r="130" spans="1:2" x14ac:dyDescent="0.25">
      <c r="B130" t="s">
        <v>208</v>
      </c>
    </row>
    <row r="132" spans="1:2" ht="15.75" x14ac:dyDescent="0.25">
      <c r="A132" s="7" t="s">
        <v>17</v>
      </c>
    </row>
    <row r="134" spans="1:2" x14ac:dyDescent="0.25">
      <c r="A134" s="6" t="s">
        <v>118</v>
      </c>
      <c r="B134" s="3" t="s">
        <v>117</v>
      </c>
    </row>
    <row r="135" spans="1:2" x14ac:dyDescent="0.25">
      <c r="A135" s="6" t="s">
        <v>120</v>
      </c>
      <c r="B135" s="3" t="s">
        <v>119</v>
      </c>
    </row>
    <row r="136" spans="1:2" x14ac:dyDescent="0.25">
      <c r="A136">
        <v>826608</v>
      </c>
      <c r="B136" s="3" t="s">
        <v>227</v>
      </c>
    </row>
    <row r="137" spans="1:2" x14ac:dyDescent="0.25">
      <c r="A137" s="8" t="s">
        <v>226</v>
      </c>
      <c r="B137" s="3" t="s">
        <v>225</v>
      </c>
    </row>
    <row r="138" spans="1:2" x14ac:dyDescent="0.25">
      <c r="B138" t="s">
        <v>18</v>
      </c>
    </row>
    <row r="140" spans="1:2" ht="15.75" x14ac:dyDescent="0.25">
      <c r="A140" s="7" t="s">
        <v>19</v>
      </c>
    </row>
    <row r="142" spans="1:2" x14ac:dyDescent="0.25">
      <c r="A142" s="6" t="s">
        <v>234</v>
      </c>
      <c r="B142" s="3" t="s">
        <v>233</v>
      </c>
    </row>
    <row r="143" spans="1:2" x14ac:dyDescent="0.25">
      <c r="A143" s="6" t="s">
        <v>131</v>
      </c>
      <c r="B143" s="3" t="s">
        <v>132</v>
      </c>
    </row>
    <row r="144" spans="1:2" x14ac:dyDescent="0.25">
      <c r="A144" s="6" t="s">
        <v>130</v>
      </c>
      <c r="B144" s="3" t="s">
        <v>129</v>
      </c>
    </row>
    <row r="145" spans="1:2" x14ac:dyDescent="0.25">
      <c r="A145" s="6" t="s">
        <v>230</v>
      </c>
      <c r="B145" s="3" t="s">
        <v>229</v>
      </c>
    </row>
    <row r="146" spans="1:2" x14ac:dyDescent="0.25">
      <c r="A146" s="6" t="s">
        <v>232</v>
      </c>
      <c r="B146" s="3" t="s">
        <v>231</v>
      </c>
    </row>
    <row r="147" spans="1:2" x14ac:dyDescent="0.25">
      <c r="A147" s="6" t="s">
        <v>73</v>
      </c>
      <c r="B147" s="3" t="s">
        <v>72</v>
      </c>
    </row>
    <row r="148" spans="1:2" x14ac:dyDescent="0.25">
      <c r="A148" s="6" t="s">
        <v>156</v>
      </c>
      <c r="B148" s="3" t="s">
        <v>155</v>
      </c>
    </row>
    <row r="149" spans="1:2" x14ac:dyDescent="0.25">
      <c r="A149" s="6" t="s">
        <v>77</v>
      </c>
      <c r="B149" s="3" t="s">
        <v>76</v>
      </c>
    </row>
    <row r="150" spans="1:2" x14ac:dyDescent="0.25">
      <c r="A150" s="6">
        <v>102950</v>
      </c>
      <c r="B150" s="3" t="s">
        <v>65</v>
      </c>
    </row>
    <row r="151" spans="1:2" x14ac:dyDescent="0.25">
      <c r="B151" t="s">
        <v>228</v>
      </c>
    </row>
    <row r="153" spans="1:2" ht="15.75" x14ac:dyDescent="0.25">
      <c r="A153" s="7" t="s">
        <v>20</v>
      </c>
    </row>
    <row r="155" spans="1:2" x14ac:dyDescent="0.25">
      <c r="A155" s="6" t="s">
        <v>133</v>
      </c>
      <c r="B155" s="3" t="s">
        <v>134</v>
      </c>
    </row>
    <row r="156" spans="1:2" x14ac:dyDescent="0.25">
      <c r="A156" s="6" t="s">
        <v>136</v>
      </c>
      <c r="B156" s="3" t="s">
        <v>135</v>
      </c>
    </row>
    <row r="157" spans="1:2" x14ac:dyDescent="0.25">
      <c r="A157" s="8" t="s">
        <v>140</v>
      </c>
      <c r="B157" s="3" t="s">
        <v>139</v>
      </c>
    </row>
    <row r="158" spans="1:2" x14ac:dyDescent="0.25">
      <c r="A158" s="8" t="s">
        <v>138</v>
      </c>
      <c r="B158" s="3" t="s">
        <v>137</v>
      </c>
    </row>
    <row r="159" spans="1:2" x14ac:dyDescent="0.25">
      <c r="A159" s="8" t="s">
        <v>144</v>
      </c>
      <c r="B159" s="3" t="s">
        <v>143</v>
      </c>
    </row>
    <row r="160" spans="1:2" x14ac:dyDescent="0.25">
      <c r="A160" s="8" t="s">
        <v>142</v>
      </c>
      <c r="B160" s="3" t="s">
        <v>141</v>
      </c>
    </row>
    <row r="161" spans="1:2" x14ac:dyDescent="0.25">
      <c r="A161" s="8" t="s">
        <v>148</v>
      </c>
      <c r="B161" s="3" t="s">
        <v>147</v>
      </c>
    </row>
    <row r="162" spans="1:2" x14ac:dyDescent="0.25">
      <c r="A162" s="8" t="s">
        <v>150</v>
      </c>
      <c r="B162" s="3" t="s">
        <v>149</v>
      </c>
    </row>
    <row r="163" spans="1:2" x14ac:dyDescent="0.25">
      <c r="A163">
        <v>876838</v>
      </c>
      <c r="B163" s="3" t="s">
        <v>153</v>
      </c>
    </row>
    <row r="164" spans="1:2" x14ac:dyDescent="0.25">
      <c r="A164" s="8" t="s">
        <v>152</v>
      </c>
      <c r="B164" s="3" t="s">
        <v>151</v>
      </c>
    </row>
    <row r="165" spans="1:2" x14ac:dyDescent="0.25">
      <c r="A165">
        <v>670145</v>
      </c>
      <c r="B165" s="3" t="s">
        <v>154</v>
      </c>
    </row>
    <row r="166" spans="1:2" x14ac:dyDescent="0.25">
      <c r="A166" s="6">
        <v>102950</v>
      </c>
      <c r="B166" s="3" t="s">
        <v>65</v>
      </c>
    </row>
    <row r="167" spans="1:2" x14ac:dyDescent="0.25">
      <c r="A167" s="6" t="s">
        <v>156</v>
      </c>
      <c r="B167" s="3" t="s">
        <v>155</v>
      </c>
    </row>
    <row r="168" spans="1:2" x14ac:dyDescent="0.25">
      <c r="A168" s="6" t="s">
        <v>158</v>
      </c>
      <c r="B168" s="3" t="s">
        <v>157</v>
      </c>
    </row>
    <row r="169" spans="1:2" x14ac:dyDescent="0.25">
      <c r="A169" s="6" t="s">
        <v>160</v>
      </c>
      <c r="B169" s="3" t="s">
        <v>159</v>
      </c>
    </row>
    <row r="171" spans="1:2" x14ac:dyDescent="0.25">
      <c r="B171" t="s">
        <v>145</v>
      </c>
    </row>
    <row r="172" spans="1:2" x14ac:dyDescent="0.25">
      <c r="A172">
        <v>855375</v>
      </c>
      <c r="B172" s="3" t="s">
        <v>146</v>
      </c>
    </row>
    <row r="174" spans="1:2" ht="15.75" x14ac:dyDescent="0.25">
      <c r="A174" s="7" t="s">
        <v>21</v>
      </c>
    </row>
    <row r="176" spans="1:2" x14ac:dyDescent="0.25">
      <c r="A176">
        <v>321030</v>
      </c>
      <c r="B176" s="3" t="s">
        <v>161</v>
      </c>
    </row>
    <row r="177" spans="1:2" x14ac:dyDescent="0.25">
      <c r="A177" s="6" t="s">
        <v>163</v>
      </c>
      <c r="B177" s="3" t="s">
        <v>162</v>
      </c>
    </row>
    <row r="178" spans="1:2" x14ac:dyDescent="0.25">
      <c r="A178" s="6" t="s">
        <v>166</v>
      </c>
      <c r="B178" s="3" t="s">
        <v>165</v>
      </c>
    </row>
    <row r="179" spans="1:2" x14ac:dyDescent="0.25">
      <c r="A179">
        <v>285070</v>
      </c>
      <c r="B179" s="3" t="s">
        <v>167</v>
      </c>
    </row>
    <row r="180" spans="1:2" x14ac:dyDescent="0.25">
      <c r="A180" s="6" t="s">
        <v>169</v>
      </c>
      <c r="B180" s="3" t="s">
        <v>168</v>
      </c>
    </row>
    <row r="181" spans="1:2" x14ac:dyDescent="0.25">
      <c r="A181">
        <v>285030</v>
      </c>
      <c r="B181" s="3" t="s">
        <v>171</v>
      </c>
    </row>
    <row r="182" spans="1:2" x14ac:dyDescent="0.25">
      <c r="A182">
        <v>285040</v>
      </c>
      <c r="B182" s="3" t="s">
        <v>172</v>
      </c>
    </row>
    <row r="183" spans="1:2" x14ac:dyDescent="0.25">
      <c r="A183">
        <v>285550</v>
      </c>
      <c r="B183" s="3" t="s">
        <v>170</v>
      </c>
    </row>
    <row r="185" spans="1:2" ht="15.75" x14ac:dyDescent="0.25">
      <c r="A185" s="7" t="s">
        <v>22</v>
      </c>
    </row>
    <row r="187" spans="1:2" x14ac:dyDescent="0.25">
      <c r="A187" s="6" t="s">
        <v>163</v>
      </c>
      <c r="B187" s="3" t="s">
        <v>162</v>
      </c>
    </row>
    <row r="188" spans="1:2" x14ac:dyDescent="0.25">
      <c r="A188">
        <v>300500</v>
      </c>
      <c r="B188" s="3" t="s">
        <v>237</v>
      </c>
    </row>
    <row r="189" spans="1:2" x14ac:dyDescent="0.25">
      <c r="A189">
        <v>321030</v>
      </c>
      <c r="B189" s="3" t="s">
        <v>161</v>
      </c>
    </row>
    <row r="190" spans="1:2" x14ac:dyDescent="0.25">
      <c r="A190" s="6" t="s">
        <v>236</v>
      </c>
      <c r="B190" s="3" t="s">
        <v>235</v>
      </c>
    </row>
    <row r="191" spans="1:2" x14ac:dyDescent="0.25">
      <c r="B191" t="s">
        <v>177</v>
      </c>
    </row>
    <row r="193" spans="1:2" ht="15.75" x14ac:dyDescent="0.25">
      <c r="A193" s="7" t="s">
        <v>23</v>
      </c>
    </row>
    <row r="195" spans="1:2" x14ac:dyDescent="0.25">
      <c r="A195"/>
      <c r="B195" s="3"/>
    </row>
    <row r="197" spans="1:2" ht="15.75" x14ac:dyDescent="0.25">
      <c r="A197" s="7" t="s">
        <v>24</v>
      </c>
    </row>
    <row r="199" spans="1:2" x14ac:dyDescent="0.25">
      <c r="A199" s="6" t="s">
        <v>156</v>
      </c>
      <c r="B199" s="3" t="s">
        <v>155</v>
      </c>
    </row>
    <row r="200" spans="1:2" x14ac:dyDescent="0.25">
      <c r="A200" s="6" t="s">
        <v>222</v>
      </c>
      <c r="B200" s="3" t="s">
        <v>221</v>
      </c>
    </row>
    <row r="201" spans="1:2" x14ac:dyDescent="0.25">
      <c r="B201" t="s">
        <v>238</v>
      </c>
    </row>
    <row r="202" spans="1:2" x14ac:dyDescent="0.25">
      <c r="B202" t="s">
        <v>25</v>
      </c>
    </row>
    <row r="203" spans="1:2" x14ac:dyDescent="0.25">
      <c r="B203" t="s">
        <v>239</v>
      </c>
    </row>
    <row r="204" spans="1:2" x14ac:dyDescent="0.25">
      <c r="B204" t="s">
        <v>26</v>
      </c>
    </row>
    <row r="205" spans="1:2" x14ac:dyDescent="0.25">
      <c r="B205" t="s">
        <v>27</v>
      </c>
    </row>
    <row r="206" spans="1:2" x14ac:dyDescent="0.25">
      <c r="B206" t="s">
        <v>28</v>
      </c>
    </row>
    <row r="207" spans="1:2" x14ac:dyDescent="0.25">
      <c r="B207" t="s">
        <v>29</v>
      </c>
    </row>
    <row r="209" spans="1:2" ht="15.75" x14ac:dyDescent="0.25">
      <c r="A209" s="7" t="s">
        <v>62</v>
      </c>
    </row>
    <row r="211" spans="1:2" x14ac:dyDescent="0.25">
      <c r="A211">
        <v>513600</v>
      </c>
      <c r="B211" s="3" t="s">
        <v>30</v>
      </c>
    </row>
    <row r="212" spans="1:2" x14ac:dyDescent="0.25">
      <c r="A212">
        <v>512515</v>
      </c>
      <c r="B212" s="3" t="s">
        <v>173</v>
      </c>
    </row>
    <row r="213" spans="1:2" x14ac:dyDescent="0.25">
      <c r="A213" s="6" t="s">
        <v>176</v>
      </c>
      <c r="B213" s="3" t="s">
        <v>175</v>
      </c>
    </row>
    <row r="214" spans="1:2" x14ac:dyDescent="0.25">
      <c r="A214">
        <v>514100</v>
      </c>
      <c r="B214" s="3" t="s">
        <v>174</v>
      </c>
    </row>
    <row r="216" spans="1:2" ht="15.75" x14ac:dyDescent="0.25">
      <c r="A216" s="7" t="s">
        <v>31</v>
      </c>
    </row>
    <row r="218" spans="1:2" x14ac:dyDescent="0.25">
      <c r="A218">
        <v>512633</v>
      </c>
      <c r="B218" s="3" t="s">
        <v>240</v>
      </c>
    </row>
    <row r="219" spans="1:2" x14ac:dyDescent="0.25">
      <c r="A219">
        <v>512630</v>
      </c>
      <c r="B219" s="3" t="s">
        <v>241</v>
      </c>
    </row>
    <row r="221" spans="1:2" ht="15.75" x14ac:dyDescent="0.25">
      <c r="A221" s="7" t="s">
        <v>32</v>
      </c>
    </row>
    <row r="223" spans="1:2" x14ac:dyDescent="0.25">
      <c r="A223">
        <v>595200</v>
      </c>
      <c r="B223" s="3" t="s">
        <v>242</v>
      </c>
    </row>
    <row r="225" spans="1:2" ht="15.75" x14ac:dyDescent="0.25">
      <c r="A225" s="7" t="s">
        <v>33</v>
      </c>
    </row>
    <row r="227" spans="1:2" x14ac:dyDescent="0.25">
      <c r="A227" s="6" t="s">
        <v>261</v>
      </c>
      <c r="B227" s="3" t="s">
        <v>260</v>
      </c>
    </row>
    <row r="228" spans="1:2" x14ac:dyDescent="0.25">
      <c r="A228" s="6" t="s">
        <v>133</v>
      </c>
      <c r="B228" s="3" t="s">
        <v>134</v>
      </c>
    </row>
    <row r="229" spans="1:2" x14ac:dyDescent="0.25">
      <c r="A229" s="6" t="s">
        <v>256</v>
      </c>
      <c r="B229" s="3" t="s">
        <v>255</v>
      </c>
    </row>
    <row r="230" spans="1:2" x14ac:dyDescent="0.25">
      <c r="A230" s="6" t="s">
        <v>263</v>
      </c>
      <c r="B230" s="3" t="s">
        <v>262</v>
      </c>
    </row>
    <row r="231" spans="1:2" x14ac:dyDescent="0.25">
      <c r="A231" s="6" t="s">
        <v>265</v>
      </c>
      <c r="B231" s="3" t="s">
        <v>264</v>
      </c>
    </row>
    <row r="232" spans="1:2" x14ac:dyDescent="0.25">
      <c r="A232" s="6" t="s">
        <v>246</v>
      </c>
      <c r="B232" s="3" t="s">
        <v>245</v>
      </c>
    </row>
    <row r="233" spans="1:2" x14ac:dyDescent="0.25">
      <c r="A233" s="6" t="s">
        <v>210</v>
      </c>
      <c r="B233" s="3" t="s">
        <v>209</v>
      </c>
    </row>
    <row r="234" spans="1:2" x14ac:dyDescent="0.25">
      <c r="A234" s="6" t="s">
        <v>258</v>
      </c>
      <c r="B234" s="3" t="s">
        <v>257</v>
      </c>
    </row>
    <row r="235" spans="1:2" x14ac:dyDescent="0.25">
      <c r="A235" s="6" t="s">
        <v>253</v>
      </c>
      <c r="B235" s="3" t="s">
        <v>252</v>
      </c>
    </row>
    <row r="236" spans="1:2" x14ac:dyDescent="0.25">
      <c r="A236" s="6" t="s">
        <v>254</v>
      </c>
      <c r="B236" s="3" t="s">
        <v>251</v>
      </c>
    </row>
    <row r="237" spans="1:2" x14ac:dyDescent="0.25">
      <c r="A237" s="6" t="s">
        <v>259</v>
      </c>
      <c r="B237" s="27" t="s">
        <v>314</v>
      </c>
    </row>
    <row r="238" spans="1:2" x14ac:dyDescent="0.25">
      <c r="A238" s="8" t="s">
        <v>244</v>
      </c>
      <c r="B238" s="3" t="s">
        <v>243</v>
      </c>
    </row>
    <row r="239" spans="1:2" x14ac:dyDescent="0.25">
      <c r="A239" s="8" t="s">
        <v>248</v>
      </c>
      <c r="B239" s="3" t="s">
        <v>247</v>
      </c>
    </row>
    <row r="240" spans="1:2" x14ac:dyDescent="0.25">
      <c r="A240" s="8" t="s">
        <v>250</v>
      </c>
      <c r="B240" s="3" t="s">
        <v>249</v>
      </c>
    </row>
    <row r="241" spans="1:2" x14ac:dyDescent="0.25">
      <c r="B241" t="s">
        <v>34</v>
      </c>
    </row>
    <row r="242" spans="1:2" x14ac:dyDescent="0.25">
      <c r="B242" t="s">
        <v>35</v>
      </c>
    </row>
    <row r="243" spans="1:2" x14ac:dyDescent="0.25">
      <c r="B243" t="s">
        <v>36</v>
      </c>
    </row>
    <row r="245" spans="1:2" ht="15.75" x14ac:dyDescent="0.25">
      <c r="A245" s="7" t="s">
        <v>37</v>
      </c>
    </row>
    <row r="247" spans="1:2" x14ac:dyDescent="0.25">
      <c r="A247">
        <v>779210</v>
      </c>
      <c r="B247" s="3" t="s">
        <v>178</v>
      </c>
    </row>
    <row r="249" spans="1:2" ht="15.75" x14ac:dyDescent="0.25">
      <c r="A249" s="7" t="s">
        <v>38</v>
      </c>
    </row>
    <row r="251" spans="1:2" x14ac:dyDescent="0.25">
      <c r="A251">
        <v>780040</v>
      </c>
      <c r="B251" s="3" t="s">
        <v>182</v>
      </c>
    </row>
    <row r="252" spans="1:2" x14ac:dyDescent="0.25">
      <c r="A252">
        <v>780026</v>
      </c>
      <c r="B252" s="3" t="s">
        <v>184</v>
      </c>
    </row>
    <row r="253" spans="1:2" x14ac:dyDescent="0.25">
      <c r="A253" s="6" t="s">
        <v>186</v>
      </c>
      <c r="B253" s="3" t="s">
        <v>185</v>
      </c>
    </row>
    <row r="254" spans="1:2" x14ac:dyDescent="0.25">
      <c r="A254">
        <v>780035</v>
      </c>
      <c r="B254" s="3" t="s">
        <v>179</v>
      </c>
    </row>
    <row r="255" spans="1:2" x14ac:dyDescent="0.25">
      <c r="A255">
        <v>780036</v>
      </c>
      <c r="B255" s="3" t="s">
        <v>180</v>
      </c>
    </row>
    <row r="256" spans="1:2" x14ac:dyDescent="0.25">
      <c r="A256" s="6" t="s">
        <v>188</v>
      </c>
      <c r="B256" s="3" t="s">
        <v>187</v>
      </c>
    </row>
    <row r="257" spans="1:4" x14ac:dyDescent="0.25">
      <c r="B257" t="s">
        <v>39</v>
      </c>
    </row>
    <row r="258" spans="1:4" x14ac:dyDescent="0.25">
      <c r="B258" t="s">
        <v>181</v>
      </c>
    </row>
    <row r="259" spans="1:4" x14ac:dyDescent="0.25">
      <c r="A259">
        <v>780015</v>
      </c>
      <c r="B259" s="3" t="s">
        <v>183</v>
      </c>
    </row>
    <row r="262" spans="1:4" ht="15.75" x14ac:dyDescent="0.25">
      <c r="A262" s="7" t="s">
        <v>40</v>
      </c>
    </row>
    <row r="264" spans="1:4" x14ac:dyDescent="0.25">
      <c r="B264" t="s">
        <v>267</v>
      </c>
    </row>
    <row r="265" spans="1:4" x14ac:dyDescent="0.25">
      <c r="B265" t="s">
        <v>266</v>
      </c>
    </row>
    <row r="266" spans="1:4" x14ac:dyDescent="0.25">
      <c r="B266" t="s">
        <v>9</v>
      </c>
    </row>
    <row r="267" spans="1:4" x14ac:dyDescent="0.25">
      <c r="B267" t="s">
        <v>41</v>
      </c>
    </row>
    <row r="268" spans="1:4" x14ac:dyDescent="0.25">
      <c r="B268" t="s">
        <v>10</v>
      </c>
    </row>
    <row r="270" spans="1:4" x14ac:dyDescent="0.25">
      <c r="B270" t="s">
        <v>312</v>
      </c>
      <c r="D270" s="23" t="s">
        <v>313</v>
      </c>
    </row>
    <row r="271" spans="1:4" x14ac:dyDescent="0.25">
      <c r="A271" s="21" t="s">
        <v>308</v>
      </c>
      <c r="B271" s="24" t="s">
        <v>309</v>
      </c>
    </row>
    <row r="272" spans="1:4" x14ac:dyDescent="0.25">
      <c r="A272" s="21" t="s">
        <v>310</v>
      </c>
      <c r="B272" s="24" t="s">
        <v>311</v>
      </c>
    </row>
    <row r="273" spans="1:2" x14ac:dyDescent="0.25">
      <c r="A273" s="21"/>
      <c r="B273" s="22"/>
    </row>
    <row r="274" spans="1:2" ht="15.75" x14ac:dyDescent="0.25">
      <c r="A274" s="7" t="s">
        <v>42</v>
      </c>
    </row>
    <row r="276" spans="1:2" x14ac:dyDescent="0.25">
      <c r="A276" s="6" t="s">
        <v>133</v>
      </c>
      <c r="B276" s="3" t="s">
        <v>134</v>
      </c>
    </row>
    <row r="277" spans="1:2" x14ac:dyDescent="0.25">
      <c r="A277" s="6" t="s">
        <v>258</v>
      </c>
      <c r="B277" s="3" t="s">
        <v>257</v>
      </c>
    </row>
    <row r="278" spans="1:2" x14ac:dyDescent="0.25">
      <c r="A278" s="6" t="s">
        <v>156</v>
      </c>
      <c r="B278" s="3" t="s">
        <v>155</v>
      </c>
    </row>
    <row r="279" spans="1:2" x14ac:dyDescent="0.25">
      <c r="A279">
        <v>118530</v>
      </c>
      <c r="B279" s="3" t="s">
        <v>271</v>
      </c>
    </row>
    <row r="280" spans="1:2" x14ac:dyDescent="0.25">
      <c r="A280" s="6" t="s">
        <v>270</v>
      </c>
      <c r="B280" s="3" t="s">
        <v>269</v>
      </c>
    </row>
    <row r="281" spans="1:2" x14ac:dyDescent="0.25">
      <c r="A281">
        <v>676520</v>
      </c>
      <c r="B281" s="3" t="s">
        <v>272</v>
      </c>
    </row>
    <row r="282" spans="1:2" x14ac:dyDescent="0.25">
      <c r="A282">
        <v>837538</v>
      </c>
      <c r="B282" s="3" t="s">
        <v>268</v>
      </c>
    </row>
    <row r="283" spans="1:2" x14ac:dyDescent="0.25">
      <c r="B283" t="s">
        <v>43</v>
      </c>
    </row>
    <row r="284" spans="1:2" x14ac:dyDescent="0.25">
      <c r="B284" t="s">
        <v>44</v>
      </c>
    </row>
    <row r="285" spans="1:2" x14ac:dyDescent="0.25">
      <c r="B285" t="s">
        <v>45</v>
      </c>
    </row>
    <row r="287" spans="1:2" ht="15.75" x14ac:dyDescent="0.25">
      <c r="A287" s="7" t="s">
        <v>46</v>
      </c>
    </row>
    <row r="289" spans="1:2" x14ac:dyDescent="0.25">
      <c r="A289" s="6" t="s">
        <v>71</v>
      </c>
      <c r="B289" s="3" t="s">
        <v>68</v>
      </c>
    </row>
    <row r="290" spans="1:2" x14ac:dyDescent="0.25">
      <c r="A290" s="6" t="s">
        <v>133</v>
      </c>
      <c r="B290" s="3" t="s">
        <v>134</v>
      </c>
    </row>
    <row r="291" spans="1:2" x14ac:dyDescent="0.25">
      <c r="A291" s="6" t="s">
        <v>276</v>
      </c>
      <c r="B291" s="3" t="s">
        <v>275</v>
      </c>
    </row>
    <row r="292" spans="1:2" x14ac:dyDescent="0.25">
      <c r="A292" s="6" t="s">
        <v>136</v>
      </c>
      <c r="B292" s="3" t="s">
        <v>135</v>
      </c>
    </row>
    <row r="293" spans="1:2" x14ac:dyDescent="0.25">
      <c r="A293" s="6" t="s">
        <v>274</v>
      </c>
      <c r="B293" s="3" t="s">
        <v>273</v>
      </c>
    </row>
    <row r="294" spans="1:2" x14ac:dyDescent="0.25">
      <c r="A294" s="6">
        <v>102950</v>
      </c>
      <c r="B294" s="3" t="s">
        <v>65</v>
      </c>
    </row>
    <row r="295" spans="1:2" x14ac:dyDescent="0.25">
      <c r="A295">
        <v>670145</v>
      </c>
      <c r="B295" s="27" t="s">
        <v>314</v>
      </c>
    </row>
    <row r="296" spans="1:2" x14ac:dyDescent="0.25">
      <c r="B296" t="s">
        <v>41</v>
      </c>
    </row>
    <row r="297" spans="1:2" x14ac:dyDescent="0.25">
      <c r="B297" t="s">
        <v>47</v>
      </c>
    </row>
    <row r="298" spans="1:2" x14ac:dyDescent="0.25">
      <c r="B298" t="s">
        <v>48</v>
      </c>
    </row>
    <row r="299" spans="1:2" x14ac:dyDescent="0.25">
      <c r="B299" t="s">
        <v>49</v>
      </c>
    </row>
    <row r="301" spans="1:2" ht="15.75" x14ac:dyDescent="0.25">
      <c r="A301" s="7" t="s">
        <v>50</v>
      </c>
    </row>
    <row r="303" spans="1:2" x14ac:dyDescent="0.25">
      <c r="A303">
        <v>488511</v>
      </c>
      <c r="B303" s="3" t="s">
        <v>190</v>
      </c>
    </row>
    <row r="304" spans="1:2" x14ac:dyDescent="0.25">
      <c r="A304" s="6" t="s">
        <v>192</v>
      </c>
      <c r="B304" s="3" t="s">
        <v>191</v>
      </c>
    </row>
    <row r="305" spans="1:2" x14ac:dyDescent="0.25">
      <c r="A305">
        <v>280110</v>
      </c>
      <c r="B305" s="3" t="s">
        <v>189</v>
      </c>
    </row>
    <row r="306" spans="1:2" x14ac:dyDescent="0.25">
      <c r="A306">
        <v>425005</v>
      </c>
      <c r="B306" s="3" t="s">
        <v>193</v>
      </c>
    </row>
    <row r="307" spans="1:2" x14ac:dyDescent="0.25">
      <c r="A307">
        <v>412015</v>
      </c>
      <c r="B307" s="3" t="s">
        <v>194</v>
      </c>
    </row>
    <row r="308" spans="1:2" x14ac:dyDescent="0.25">
      <c r="A308">
        <v>105201</v>
      </c>
      <c r="B308" s="3" t="s">
        <v>195</v>
      </c>
    </row>
    <row r="310" spans="1:2" ht="15.75" x14ac:dyDescent="0.25">
      <c r="A310" s="7" t="s">
        <v>51</v>
      </c>
    </row>
    <row r="312" spans="1:2" x14ac:dyDescent="0.25">
      <c r="A312" s="6" t="s">
        <v>163</v>
      </c>
      <c r="B312" s="3" t="s">
        <v>162</v>
      </c>
    </row>
    <row r="313" spans="1:2" x14ac:dyDescent="0.25">
      <c r="A313" s="6" t="s">
        <v>71</v>
      </c>
      <c r="B313" s="3" t="s">
        <v>68</v>
      </c>
    </row>
    <row r="314" spans="1:2" x14ac:dyDescent="0.25">
      <c r="A314" s="6" t="s">
        <v>202</v>
      </c>
      <c r="B314" s="3" t="s">
        <v>201</v>
      </c>
    </row>
    <row r="315" spans="1:2" x14ac:dyDescent="0.25">
      <c r="A315" s="8" t="s">
        <v>278</v>
      </c>
      <c r="B315" s="3" t="s">
        <v>277</v>
      </c>
    </row>
    <row r="316" spans="1:2" x14ac:dyDescent="0.25">
      <c r="B316" t="s">
        <v>52</v>
      </c>
    </row>
    <row r="317" spans="1:2" x14ac:dyDescent="0.25">
      <c r="B317" t="s">
        <v>53</v>
      </c>
    </row>
    <row r="319" spans="1:2" ht="15.75" x14ac:dyDescent="0.25">
      <c r="A319" s="7" t="s">
        <v>54</v>
      </c>
    </row>
    <row r="321" spans="1:2" x14ac:dyDescent="0.25">
      <c r="A321" s="6" t="s">
        <v>280</v>
      </c>
      <c r="B321" s="3" t="s">
        <v>279</v>
      </c>
    </row>
    <row r="322" spans="1:2" x14ac:dyDescent="0.25">
      <c r="A322">
        <v>109000</v>
      </c>
      <c r="B322" s="3" t="s">
        <v>290</v>
      </c>
    </row>
    <row r="323" spans="1:2" x14ac:dyDescent="0.25">
      <c r="A323">
        <v>622110</v>
      </c>
      <c r="B323" s="3" t="s">
        <v>288</v>
      </c>
    </row>
    <row r="324" spans="1:2" x14ac:dyDescent="0.25">
      <c r="A324">
        <v>860101</v>
      </c>
      <c r="B324" s="3" t="s">
        <v>285</v>
      </c>
    </row>
    <row r="325" spans="1:2" x14ac:dyDescent="0.25">
      <c r="A325" s="8" t="s">
        <v>282</v>
      </c>
      <c r="B325" s="3" t="s">
        <v>281</v>
      </c>
    </row>
    <row r="326" spans="1:2" x14ac:dyDescent="0.25">
      <c r="A326" s="8" t="s">
        <v>284</v>
      </c>
      <c r="B326" s="3" t="s">
        <v>283</v>
      </c>
    </row>
    <row r="327" spans="1:2" x14ac:dyDescent="0.25">
      <c r="B327" t="s">
        <v>55</v>
      </c>
    </row>
    <row r="328" spans="1:2" x14ac:dyDescent="0.25">
      <c r="B328" t="s">
        <v>287</v>
      </c>
    </row>
    <row r="329" spans="1:2" x14ac:dyDescent="0.25">
      <c r="B329" t="s">
        <v>286</v>
      </c>
    </row>
    <row r="331" spans="1:2" ht="15.75" x14ac:dyDescent="0.25">
      <c r="A331" s="7" t="s">
        <v>56</v>
      </c>
    </row>
    <row r="333" spans="1:2" x14ac:dyDescent="0.25">
      <c r="A333">
        <v>450020</v>
      </c>
      <c r="B333" s="3" t="s">
        <v>289</v>
      </c>
    </row>
    <row r="334" spans="1:2" x14ac:dyDescent="0.25">
      <c r="A334" s="8" t="s">
        <v>292</v>
      </c>
      <c r="B334" s="3" t="s">
        <v>291</v>
      </c>
    </row>
    <row r="335" spans="1:2" x14ac:dyDescent="0.25">
      <c r="A335" s="6" t="s">
        <v>230</v>
      </c>
      <c r="B335" s="3" t="s">
        <v>229</v>
      </c>
    </row>
    <row r="336" spans="1:2" x14ac:dyDescent="0.25">
      <c r="A336">
        <v>350555</v>
      </c>
      <c r="B336" s="3" t="s">
        <v>293</v>
      </c>
    </row>
    <row r="337" spans="1:2" x14ac:dyDescent="0.25">
      <c r="A337">
        <v>425005</v>
      </c>
      <c r="B337" s="3" t="s">
        <v>193</v>
      </c>
    </row>
    <row r="338" spans="1:2" x14ac:dyDescent="0.25">
      <c r="A338">
        <v>109000</v>
      </c>
      <c r="B338" s="3" t="s">
        <v>290</v>
      </c>
    </row>
    <row r="339" spans="1:2" x14ac:dyDescent="0.25">
      <c r="A339">
        <v>412015</v>
      </c>
      <c r="B339" s="3" t="s">
        <v>194</v>
      </c>
    </row>
    <row r="340" spans="1:2" x14ac:dyDescent="0.25">
      <c r="A340">
        <v>105201</v>
      </c>
      <c r="B340" s="3" t="s">
        <v>195</v>
      </c>
    </row>
    <row r="341" spans="1:2" x14ac:dyDescent="0.25">
      <c r="A341" s="6" t="s">
        <v>77</v>
      </c>
      <c r="B341" s="3" t="s">
        <v>76</v>
      </c>
    </row>
    <row r="343" spans="1:2" ht="15.75" x14ac:dyDescent="0.25">
      <c r="A343" s="7" t="s">
        <v>57</v>
      </c>
    </row>
    <row r="345" spans="1:2" x14ac:dyDescent="0.25">
      <c r="A345" s="8" t="s">
        <v>295</v>
      </c>
      <c r="B345" s="3" t="s">
        <v>294</v>
      </c>
    </row>
    <row r="346" spans="1:2" x14ac:dyDescent="0.25">
      <c r="A346" s="6" t="s">
        <v>77</v>
      </c>
      <c r="B346" s="3" t="s">
        <v>76</v>
      </c>
    </row>
    <row r="347" spans="1:2" x14ac:dyDescent="0.25">
      <c r="A347">
        <v>839108</v>
      </c>
      <c r="B347" s="3" t="s">
        <v>296</v>
      </c>
    </row>
    <row r="348" spans="1:2" x14ac:dyDescent="0.25">
      <c r="A348">
        <v>839208</v>
      </c>
      <c r="B348" s="3" t="s">
        <v>297</v>
      </c>
    </row>
    <row r="349" spans="1:2" x14ac:dyDescent="0.25">
      <c r="A349" s="6" t="s">
        <v>299</v>
      </c>
      <c r="B349" s="3" t="s">
        <v>298</v>
      </c>
    </row>
    <row r="350" spans="1:2" x14ac:dyDescent="0.25">
      <c r="A350">
        <v>451050</v>
      </c>
      <c r="B350" s="3" t="s">
        <v>300</v>
      </c>
    </row>
    <row r="351" spans="1:2" x14ac:dyDescent="0.25">
      <c r="A351">
        <v>109000</v>
      </c>
      <c r="B351" s="3" t="s">
        <v>290</v>
      </c>
    </row>
    <row r="352" spans="1:2" x14ac:dyDescent="0.25">
      <c r="A352">
        <v>105201</v>
      </c>
      <c r="B352" s="3" t="s">
        <v>195</v>
      </c>
    </row>
    <row r="353" spans="1:5" x14ac:dyDescent="0.25">
      <c r="A353">
        <v>350555</v>
      </c>
      <c r="B353" s="3" t="s">
        <v>293</v>
      </c>
    </row>
    <row r="354" spans="1:5" x14ac:dyDescent="0.25">
      <c r="A354">
        <v>670145</v>
      </c>
      <c r="B354" s="27" t="s">
        <v>314</v>
      </c>
    </row>
    <row r="356" spans="1:5" ht="15.75" x14ac:dyDescent="0.25">
      <c r="A356" s="7" t="s">
        <v>58</v>
      </c>
    </row>
    <row r="358" spans="1:5" x14ac:dyDescent="0.25">
      <c r="A358" s="8" t="s">
        <v>197</v>
      </c>
      <c r="B358" s="3" t="s">
        <v>196</v>
      </c>
    </row>
    <row r="359" spans="1:5" x14ac:dyDescent="0.25">
      <c r="A359">
        <v>452870</v>
      </c>
      <c r="B359" s="3" t="s">
        <v>198</v>
      </c>
    </row>
    <row r="360" spans="1:5" x14ac:dyDescent="0.25">
      <c r="A360">
        <v>280110</v>
      </c>
      <c r="B360" s="3" t="s">
        <v>189</v>
      </c>
    </row>
    <row r="362" spans="1:5" ht="15.75" x14ac:dyDescent="0.25">
      <c r="A362" s="7" t="s">
        <v>64</v>
      </c>
    </row>
    <row r="363" spans="1:5" x14ac:dyDescent="0.25">
      <c r="A363" s="25" t="s">
        <v>306</v>
      </c>
      <c r="B363" s="26" t="s">
        <v>307</v>
      </c>
      <c r="C363" s="26"/>
      <c r="D363" s="26"/>
      <c r="E363"/>
    </row>
    <row r="364" spans="1:5" x14ac:dyDescent="0.25">
      <c r="A364" s="17" t="s">
        <v>234</v>
      </c>
      <c r="B364" s="3" t="s">
        <v>233</v>
      </c>
      <c r="E364"/>
    </row>
    <row r="365" spans="1:5" x14ac:dyDescent="0.25">
      <c r="A365" s="17" t="s">
        <v>126</v>
      </c>
      <c r="B365" s="3" t="s">
        <v>125</v>
      </c>
      <c r="E365"/>
    </row>
    <row r="366" spans="1:5" x14ac:dyDescent="0.25">
      <c r="A366" s="17" t="s">
        <v>131</v>
      </c>
      <c r="B366" s="3" t="s">
        <v>132</v>
      </c>
      <c r="E366"/>
    </row>
    <row r="367" spans="1:5" x14ac:dyDescent="0.25">
      <c r="A367" s="17" t="s">
        <v>130</v>
      </c>
      <c r="B367" s="3" t="s">
        <v>129</v>
      </c>
      <c r="E367"/>
    </row>
    <row r="368" spans="1:5" x14ac:dyDescent="0.25">
      <c r="A368" s="17" t="s">
        <v>163</v>
      </c>
      <c r="B368" s="3" t="s">
        <v>162</v>
      </c>
      <c r="E368"/>
    </row>
    <row r="369" spans="1:5" x14ac:dyDescent="0.25">
      <c r="A369" s="17" t="s">
        <v>71</v>
      </c>
      <c r="B369" s="3" t="s">
        <v>68</v>
      </c>
      <c r="E369"/>
    </row>
    <row r="370" spans="1:5" x14ac:dyDescent="0.25">
      <c r="A370" s="17" t="s">
        <v>230</v>
      </c>
      <c r="B370" s="3" t="s">
        <v>229</v>
      </c>
      <c r="E370"/>
    </row>
    <row r="371" spans="1:5" x14ac:dyDescent="0.25">
      <c r="A371" s="17" t="s">
        <v>261</v>
      </c>
      <c r="B371" s="3" t="s">
        <v>260</v>
      </c>
      <c r="E371"/>
    </row>
    <row r="372" spans="1:5" x14ac:dyDescent="0.25">
      <c r="A372" s="17" t="s">
        <v>133</v>
      </c>
      <c r="B372" s="3" t="s">
        <v>134</v>
      </c>
      <c r="E372"/>
    </row>
    <row r="373" spans="1:5" x14ac:dyDescent="0.25">
      <c r="A373" s="18" t="s">
        <v>124</v>
      </c>
      <c r="B373" s="3" t="s">
        <v>123</v>
      </c>
      <c r="E373"/>
    </row>
    <row r="374" spans="1:5" x14ac:dyDescent="0.25">
      <c r="A374" s="17" t="s">
        <v>218</v>
      </c>
      <c r="B374" s="3" t="s">
        <v>217</v>
      </c>
      <c r="E374"/>
    </row>
    <row r="375" spans="1:5" x14ac:dyDescent="0.25">
      <c r="A375" s="17" t="s">
        <v>232</v>
      </c>
      <c r="B375" s="3" t="s">
        <v>231</v>
      </c>
      <c r="E375"/>
    </row>
    <row r="376" spans="1:5" x14ac:dyDescent="0.25">
      <c r="A376" s="17" t="s">
        <v>220</v>
      </c>
      <c r="B376" s="3" t="s">
        <v>219</v>
      </c>
      <c r="E376"/>
    </row>
    <row r="377" spans="1:5" x14ac:dyDescent="0.25">
      <c r="A377" s="17" t="s">
        <v>276</v>
      </c>
      <c r="B377" s="3" t="s">
        <v>275</v>
      </c>
      <c r="E377"/>
    </row>
    <row r="378" spans="1:5" x14ac:dyDescent="0.25">
      <c r="A378" s="17" t="s">
        <v>256</v>
      </c>
      <c r="B378" s="3" t="s">
        <v>255</v>
      </c>
      <c r="E378"/>
    </row>
    <row r="379" spans="1:5" x14ac:dyDescent="0.25">
      <c r="A379" s="17" t="s">
        <v>118</v>
      </c>
      <c r="B379" s="3" t="s">
        <v>117</v>
      </c>
      <c r="E379"/>
    </row>
    <row r="380" spans="1:5" x14ac:dyDescent="0.25">
      <c r="A380" s="17" t="s">
        <v>263</v>
      </c>
      <c r="B380" s="3" t="s">
        <v>262</v>
      </c>
      <c r="E380"/>
    </row>
    <row r="381" spans="1:5" x14ac:dyDescent="0.25">
      <c r="A381" s="17" t="s">
        <v>202</v>
      </c>
      <c r="B381" s="3" t="s">
        <v>201</v>
      </c>
      <c r="E381"/>
    </row>
    <row r="382" spans="1:5" x14ac:dyDescent="0.25">
      <c r="A382" s="17" t="s">
        <v>265</v>
      </c>
      <c r="B382" s="3" t="s">
        <v>264</v>
      </c>
      <c r="E382"/>
    </row>
    <row r="383" spans="1:5" x14ac:dyDescent="0.25">
      <c r="A383" s="17" t="s">
        <v>299</v>
      </c>
      <c r="B383" s="3" t="s">
        <v>298</v>
      </c>
      <c r="E383"/>
    </row>
    <row r="384" spans="1:5" x14ac:dyDescent="0.25">
      <c r="A384" s="17" t="s">
        <v>280</v>
      </c>
      <c r="B384" s="3" t="s">
        <v>279</v>
      </c>
      <c r="E384"/>
    </row>
    <row r="385" spans="1:5" x14ac:dyDescent="0.25">
      <c r="A385" s="17" t="s">
        <v>98</v>
      </c>
      <c r="B385" s="3" t="s">
        <v>97</v>
      </c>
      <c r="E385"/>
    </row>
    <row r="386" spans="1:5" x14ac:dyDescent="0.25">
      <c r="A386" s="17" t="s">
        <v>214</v>
      </c>
      <c r="B386" s="3" t="s">
        <v>213</v>
      </c>
      <c r="E386"/>
    </row>
    <row r="387" spans="1:5" x14ac:dyDescent="0.25">
      <c r="A387" s="17" t="s">
        <v>192</v>
      </c>
      <c r="B387" s="3" t="s">
        <v>191</v>
      </c>
      <c r="E387"/>
    </row>
    <row r="388" spans="1:5" x14ac:dyDescent="0.25">
      <c r="A388" s="17" t="s">
        <v>246</v>
      </c>
      <c r="B388" s="3" t="s">
        <v>245</v>
      </c>
      <c r="E388"/>
    </row>
    <row r="389" spans="1:5" x14ac:dyDescent="0.25">
      <c r="A389" s="17" t="s">
        <v>67</v>
      </c>
      <c r="B389" s="3" t="s">
        <v>66</v>
      </c>
      <c r="E389"/>
    </row>
    <row r="390" spans="1:5" x14ac:dyDescent="0.25">
      <c r="A390" s="17" t="s">
        <v>212</v>
      </c>
      <c r="B390" s="3" t="s">
        <v>211</v>
      </c>
      <c r="E390"/>
    </row>
    <row r="391" spans="1:5" x14ac:dyDescent="0.25">
      <c r="A391" s="17" t="s">
        <v>210</v>
      </c>
      <c r="B391" s="3" t="s">
        <v>209</v>
      </c>
      <c r="E391"/>
    </row>
    <row r="392" spans="1:5" x14ac:dyDescent="0.25">
      <c r="A392" s="17" t="s">
        <v>120</v>
      </c>
      <c r="B392" s="3" t="s">
        <v>119</v>
      </c>
      <c r="E392"/>
    </row>
    <row r="393" spans="1:5" x14ac:dyDescent="0.25">
      <c r="A393" s="17" t="s">
        <v>128</v>
      </c>
      <c r="B393" s="3" t="s">
        <v>127</v>
      </c>
      <c r="E393"/>
    </row>
    <row r="394" spans="1:5" x14ac:dyDescent="0.25">
      <c r="A394" s="17" t="s">
        <v>73</v>
      </c>
      <c r="B394" s="3" t="s">
        <v>72</v>
      </c>
      <c r="E394"/>
    </row>
    <row r="395" spans="1:5" x14ac:dyDescent="0.25">
      <c r="A395" s="17" t="s">
        <v>166</v>
      </c>
      <c r="B395" s="3" t="s">
        <v>165</v>
      </c>
      <c r="E395"/>
    </row>
    <row r="396" spans="1:5" x14ac:dyDescent="0.25">
      <c r="A396" s="17" t="s">
        <v>216</v>
      </c>
      <c r="B396" s="3" t="s">
        <v>215</v>
      </c>
      <c r="E396"/>
    </row>
    <row r="397" spans="1:5" x14ac:dyDescent="0.25">
      <c r="A397" s="17" t="s">
        <v>224</v>
      </c>
      <c r="B397" s="3" t="s">
        <v>223</v>
      </c>
      <c r="E397"/>
    </row>
    <row r="398" spans="1:5" x14ac:dyDescent="0.25">
      <c r="A398" s="17" t="s">
        <v>160</v>
      </c>
      <c r="B398" s="3" t="s">
        <v>159</v>
      </c>
      <c r="E398"/>
    </row>
    <row r="399" spans="1:5" x14ac:dyDescent="0.25">
      <c r="A399" s="17" t="s">
        <v>258</v>
      </c>
      <c r="B399" s="3" t="s">
        <v>257</v>
      </c>
      <c r="E399"/>
    </row>
    <row r="400" spans="1:5" x14ac:dyDescent="0.25">
      <c r="A400" s="17" t="s">
        <v>88</v>
      </c>
      <c r="B400" s="3" t="s">
        <v>87</v>
      </c>
      <c r="E400"/>
    </row>
    <row r="401" spans="1:5" x14ac:dyDescent="0.25">
      <c r="A401" s="17" t="s">
        <v>96</v>
      </c>
      <c r="B401" s="3" t="s">
        <v>95</v>
      </c>
      <c r="E401"/>
    </row>
    <row r="402" spans="1:5" x14ac:dyDescent="0.25">
      <c r="A402" s="17" t="s">
        <v>158</v>
      </c>
      <c r="B402" s="3" t="s">
        <v>157</v>
      </c>
      <c r="E402"/>
    </row>
    <row r="403" spans="1:5" x14ac:dyDescent="0.25">
      <c r="A403" s="17" t="s">
        <v>156</v>
      </c>
      <c r="B403" s="3" t="s">
        <v>155</v>
      </c>
      <c r="E403"/>
    </row>
    <row r="404" spans="1:5" x14ac:dyDescent="0.25">
      <c r="A404" s="17" t="s">
        <v>136</v>
      </c>
      <c r="B404" s="3" t="s">
        <v>135</v>
      </c>
      <c r="E404"/>
    </row>
    <row r="405" spans="1:5" x14ac:dyDescent="0.25">
      <c r="A405" s="17" t="s">
        <v>222</v>
      </c>
      <c r="B405" s="3" t="s">
        <v>221</v>
      </c>
      <c r="E405"/>
    </row>
    <row r="406" spans="1:5" x14ac:dyDescent="0.25">
      <c r="A406" s="17" t="s">
        <v>253</v>
      </c>
      <c r="B406" s="3" t="s">
        <v>252</v>
      </c>
      <c r="E406"/>
    </row>
    <row r="407" spans="1:5" x14ac:dyDescent="0.25">
      <c r="A407" s="17" t="s">
        <v>254</v>
      </c>
      <c r="B407" s="3" t="s">
        <v>251</v>
      </c>
      <c r="E407"/>
    </row>
    <row r="408" spans="1:5" x14ac:dyDescent="0.25">
      <c r="A408" s="17" t="s">
        <v>84</v>
      </c>
      <c r="B408" s="3" t="s">
        <v>83</v>
      </c>
      <c r="E408"/>
    </row>
    <row r="409" spans="1:5" x14ac:dyDescent="0.25">
      <c r="A409" s="17" t="s">
        <v>92</v>
      </c>
      <c r="B409" s="3" t="s">
        <v>91</v>
      </c>
      <c r="E409"/>
    </row>
    <row r="410" spans="1:5" x14ac:dyDescent="0.25">
      <c r="A410" s="17" t="s">
        <v>186</v>
      </c>
      <c r="B410" s="3" t="s">
        <v>185</v>
      </c>
      <c r="E410"/>
    </row>
    <row r="411" spans="1:5" x14ac:dyDescent="0.25">
      <c r="A411" s="17" t="s">
        <v>103</v>
      </c>
      <c r="B411" s="3" t="s">
        <v>102</v>
      </c>
      <c r="E411"/>
    </row>
    <row r="412" spans="1:5" x14ac:dyDescent="0.25">
      <c r="A412" s="17" t="s">
        <v>94</v>
      </c>
      <c r="B412" s="3" t="s">
        <v>93</v>
      </c>
      <c r="E412"/>
    </row>
    <row r="413" spans="1:5" x14ac:dyDescent="0.25">
      <c r="A413" s="17" t="s">
        <v>77</v>
      </c>
      <c r="B413" s="3" t="s">
        <v>76</v>
      </c>
      <c r="E413"/>
    </row>
    <row r="414" spans="1:5" x14ac:dyDescent="0.25">
      <c r="A414" s="17" t="s">
        <v>274</v>
      </c>
      <c r="B414" s="3" t="s">
        <v>273</v>
      </c>
      <c r="E414"/>
    </row>
    <row r="415" spans="1:5" x14ac:dyDescent="0.25">
      <c r="A415" s="17" t="s">
        <v>188</v>
      </c>
      <c r="B415" s="3" t="s">
        <v>187</v>
      </c>
      <c r="E415"/>
    </row>
    <row r="416" spans="1:5" x14ac:dyDescent="0.25">
      <c r="A416" s="17">
        <v>102950</v>
      </c>
      <c r="B416" s="3" t="s">
        <v>65</v>
      </c>
      <c r="E416"/>
    </row>
    <row r="417" spans="1:5" x14ac:dyDescent="0.25">
      <c r="A417" s="19">
        <v>105201</v>
      </c>
      <c r="B417" s="3" t="s">
        <v>195</v>
      </c>
      <c r="E417"/>
    </row>
    <row r="418" spans="1:5" x14ac:dyDescent="0.25">
      <c r="A418" s="19">
        <v>109000</v>
      </c>
      <c r="B418" s="3" t="s">
        <v>290</v>
      </c>
      <c r="E418"/>
    </row>
    <row r="419" spans="1:5" x14ac:dyDescent="0.25">
      <c r="A419" s="17" t="s">
        <v>315</v>
      </c>
      <c r="B419" s="3" t="s">
        <v>82</v>
      </c>
      <c r="E419"/>
    </row>
    <row r="420" spans="1:5" x14ac:dyDescent="0.25">
      <c r="A420" s="19">
        <v>280110</v>
      </c>
      <c r="B420" s="3" t="s">
        <v>189</v>
      </c>
      <c r="E420"/>
    </row>
    <row r="421" spans="1:5" x14ac:dyDescent="0.25">
      <c r="A421" s="17" t="s">
        <v>169</v>
      </c>
      <c r="B421" s="3" t="s">
        <v>168</v>
      </c>
      <c r="E421"/>
    </row>
    <row r="422" spans="1:5" x14ac:dyDescent="0.25">
      <c r="A422" s="19">
        <v>285030</v>
      </c>
      <c r="B422" s="3" t="s">
        <v>171</v>
      </c>
      <c r="E422"/>
    </row>
    <row r="423" spans="1:5" x14ac:dyDescent="0.25">
      <c r="A423" s="19">
        <v>285040</v>
      </c>
      <c r="B423" s="3" t="s">
        <v>172</v>
      </c>
      <c r="E423"/>
    </row>
    <row r="424" spans="1:5" x14ac:dyDescent="0.25">
      <c r="A424" s="19">
        <v>285070</v>
      </c>
      <c r="B424" s="3" t="s">
        <v>167</v>
      </c>
      <c r="E424"/>
    </row>
    <row r="425" spans="1:5" x14ac:dyDescent="0.25">
      <c r="A425" s="19">
        <v>285550</v>
      </c>
      <c r="B425" s="3" t="s">
        <v>170</v>
      </c>
      <c r="E425"/>
    </row>
    <row r="426" spans="1:5" x14ac:dyDescent="0.25">
      <c r="A426" s="19">
        <v>321030</v>
      </c>
      <c r="B426" s="3" t="s">
        <v>161</v>
      </c>
      <c r="E426"/>
    </row>
    <row r="427" spans="1:5" x14ac:dyDescent="0.25">
      <c r="A427" s="19">
        <v>350555</v>
      </c>
      <c r="B427" s="3" t="s">
        <v>293</v>
      </c>
      <c r="E427"/>
    </row>
    <row r="428" spans="1:5" x14ac:dyDescent="0.25">
      <c r="A428" s="19">
        <v>412015</v>
      </c>
      <c r="B428" s="3" t="s">
        <v>194</v>
      </c>
      <c r="E428"/>
    </row>
    <row r="429" spans="1:5" x14ac:dyDescent="0.25">
      <c r="A429" s="19">
        <v>425005</v>
      </c>
      <c r="B429" s="3" t="s">
        <v>193</v>
      </c>
      <c r="E429"/>
    </row>
    <row r="430" spans="1:5" x14ac:dyDescent="0.25">
      <c r="A430" s="19">
        <v>450020</v>
      </c>
      <c r="B430" s="3" t="s">
        <v>289</v>
      </c>
      <c r="E430"/>
    </row>
    <row r="431" spans="1:5" x14ac:dyDescent="0.25">
      <c r="A431" s="19">
        <v>451050</v>
      </c>
      <c r="B431" s="3" t="s">
        <v>300</v>
      </c>
      <c r="E431"/>
    </row>
    <row r="432" spans="1:5" x14ac:dyDescent="0.25">
      <c r="A432" s="19">
        <v>452870</v>
      </c>
      <c r="B432" s="3" t="s">
        <v>198</v>
      </c>
      <c r="E432"/>
    </row>
    <row r="433" spans="1:5" x14ac:dyDescent="0.25">
      <c r="A433" s="19">
        <v>488511</v>
      </c>
      <c r="B433" s="3" t="s">
        <v>190</v>
      </c>
      <c r="E433"/>
    </row>
    <row r="434" spans="1:5" x14ac:dyDescent="0.25">
      <c r="A434" s="17" t="s">
        <v>176</v>
      </c>
      <c r="B434" s="3" t="s">
        <v>175</v>
      </c>
      <c r="E434"/>
    </row>
    <row r="435" spans="1:5" x14ac:dyDescent="0.25">
      <c r="A435" s="19">
        <v>512515</v>
      </c>
      <c r="B435" s="3" t="s">
        <v>173</v>
      </c>
      <c r="E435"/>
    </row>
    <row r="436" spans="1:5" x14ac:dyDescent="0.25">
      <c r="A436" s="19">
        <v>512630</v>
      </c>
      <c r="B436" s="3" t="s">
        <v>241</v>
      </c>
      <c r="E436"/>
    </row>
    <row r="437" spans="1:5" x14ac:dyDescent="0.25">
      <c r="A437" s="19">
        <v>512633</v>
      </c>
      <c r="B437" s="3" t="s">
        <v>240</v>
      </c>
      <c r="E437"/>
    </row>
    <row r="438" spans="1:5" x14ac:dyDescent="0.25">
      <c r="A438" s="19">
        <v>513600</v>
      </c>
      <c r="B438" s="3" t="s">
        <v>30</v>
      </c>
      <c r="E438"/>
    </row>
    <row r="439" spans="1:5" x14ac:dyDescent="0.25">
      <c r="A439" s="19">
        <v>514100</v>
      </c>
      <c r="B439" s="3" t="s">
        <v>174</v>
      </c>
      <c r="E439"/>
    </row>
    <row r="440" spans="1:5" x14ac:dyDescent="0.25">
      <c r="A440" s="17" t="s">
        <v>106</v>
      </c>
      <c r="B440" s="3" t="s">
        <v>105</v>
      </c>
      <c r="E440"/>
    </row>
    <row r="441" spans="1:5" x14ac:dyDescent="0.25">
      <c r="A441" s="21" t="s">
        <v>308</v>
      </c>
      <c r="B441" s="24" t="s">
        <v>309</v>
      </c>
      <c r="E441"/>
    </row>
    <row r="442" spans="1:5" x14ac:dyDescent="0.25">
      <c r="A442" s="21" t="s">
        <v>310</v>
      </c>
      <c r="B442" s="24" t="s">
        <v>311</v>
      </c>
      <c r="E442"/>
    </row>
    <row r="443" spans="1:5" x14ac:dyDescent="0.25">
      <c r="A443" s="17" t="s">
        <v>70</v>
      </c>
      <c r="B443" s="3" t="s">
        <v>69</v>
      </c>
      <c r="E443"/>
    </row>
    <row r="444" spans="1:5" x14ac:dyDescent="0.25">
      <c r="A444" s="19">
        <v>622110</v>
      </c>
      <c r="B444" s="3" t="s">
        <v>288</v>
      </c>
      <c r="E444"/>
    </row>
    <row r="445" spans="1:5" x14ac:dyDescent="0.25">
      <c r="A445" s="19">
        <v>670145</v>
      </c>
      <c r="B445" s="27" t="s">
        <v>314</v>
      </c>
      <c r="E445"/>
    </row>
    <row r="446" spans="1:5" x14ac:dyDescent="0.25">
      <c r="A446" s="17" t="s">
        <v>89</v>
      </c>
      <c r="B446" s="3" t="s">
        <v>85</v>
      </c>
      <c r="E446"/>
    </row>
    <row r="447" spans="1:5" x14ac:dyDescent="0.25">
      <c r="A447" s="17" t="s">
        <v>90</v>
      </c>
      <c r="B447" s="3" t="s">
        <v>86</v>
      </c>
      <c r="E447"/>
    </row>
    <row r="448" spans="1:5" x14ac:dyDescent="0.25">
      <c r="A448" s="17" t="s">
        <v>81</v>
      </c>
      <c r="B448" s="3" t="s">
        <v>80</v>
      </c>
      <c r="E448"/>
    </row>
    <row r="449" spans="1:5" x14ac:dyDescent="0.25">
      <c r="A449" s="17" t="s">
        <v>79</v>
      </c>
      <c r="B449" s="3" t="s">
        <v>78</v>
      </c>
      <c r="E449"/>
    </row>
    <row r="450" spans="1:5" x14ac:dyDescent="0.25">
      <c r="A450" s="17" t="s">
        <v>101</v>
      </c>
      <c r="B450" s="3" t="s">
        <v>100</v>
      </c>
      <c r="E450"/>
    </row>
    <row r="451" spans="1:5" x14ac:dyDescent="0.25">
      <c r="A451" s="19">
        <v>779210</v>
      </c>
      <c r="B451" s="3" t="s">
        <v>178</v>
      </c>
      <c r="E451"/>
    </row>
    <row r="452" spans="1:5" x14ac:dyDescent="0.25">
      <c r="A452" s="19">
        <v>780015</v>
      </c>
      <c r="B452" s="3" t="s">
        <v>183</v>
      </c>
      <c r="E452"/>
    </row>
    <row r="453" spans="1:5" x14ac:dyDescent="0.25">
      <c r="A453" s="19">
        <v>780026</v>
      </c>
      <c r="B453" s="3" t="s">
        <v>184</v>
      </c>
      <c r="E453"/>
    </row>
    <row r="454" spans="1:5" x14ac:dyDescent="0.25">
      <c r="A454" s="19">
        <v>780035</v>
      </c>
      <c r="B454" s="3" t="s">
        <v>179</v>
      </c>
      <c r="E454"/>
    </row>
    <row r="455" spans="1:5" x14ac:dyDescent="0.25">
      <c r="A455" s="19">
        <v>780036</v>
      </c>
      <c r="B455" s="3" t="s">
        <v>180</v>
      </c>
      <c r="E455"/>
    </row>
    <row r="456" spans="1:5" x14ac:dyDescent="0.25">
      <c r="A456" s="19">
        <v>780040</v>
      </c>
      <c r="B456" s="3" t="s">
        <v>182</v>
      </c>
      <c r="E456"/>
    </row>
    <row r="457" spans="1:5" x14ac:dyDescent="0.25">
      <c r="A457" s="17">
        <v>785010</v>
      </c>
      <c r="B457" s="3" t="s">
        <v>63</v>
      </c>
      <c r="E457"/>
    </row>
    <row r="458" spans="1:5" x14ac:dyDescent="0.25">
      <c r="A458" s="19">
        <v>800038</v>
      </c>
      <c r="B458" s="3" t="s">
        <v>207</v>
      </c>
      <c r="E458"/>
    </row>
    <row r="459" spans="1:5" x14ac:dyDescent="0.25">
      <c r="A459" s="19">
        <v>826608</v>
      </c>
      <c r="B459" s="3" t="s">
        <v>227</v>
      </c>
      <c r="E459"/>
    </row>
    <row r="460" spans="1:5" x14ac:dyDescent="0.25">
      <c r="A460" s="19">
        <v>839108</v>
      </c>
      <c r="B460" s="3" t="s">
        <v>296</v>
      </c>
      <c r="E460"/>
    </row>
    <row r="461" spans="1:5" x14ac:dyDescent="0.25">
      <c r="A461" s="19">
        <v>839208</v>
      </c>
      <c r="B461" s="3" t="s">
        <v>297</v>
      </c>
      <c r="E461"/>
    </row>
    <row r="462" spans="1:5" x14ac:dyDescent="0.25">
      <c r="A462" s="19">
        <v>855375</v>
      </c>
      <c r="B462" s="3" t="s">
        <v>146</v>
      </c>
      <c r="E462"/>
    </row>
    <row r="463" spans="1:5" x14ac:dyDescent="0.25">
      <c r="A463" s="19">
        <v>860101</v>
      </c>
      <c r="B463" s="3" t="s">
        <v>285</v>
      </c>
      <c r="E463"/>
    </row>
    <row r="464" spans="1:5" x14ac:dyDescent="0.25">
      <c r="A464" s="19">
        <v>865508</v>
      </c>
      <c r="B464" s="3" t="s">
        <v>164</v>
      </c>
      <c r="E464"/>
    </row>
    <row r="465" spans="1:5" x14ac:dyDescent="0.25">
      <c r="A465" s="19">
        <v>876838</v>
      </c>
      <c r="B465" s="3" t="s">
        <v>153</v>
      </c>
      <c r="E465"/>
    </row>
    <row r="466" spans="1:5" x14ac:dyDescent="0.25">
      <c r="A466" s="20" t="s">
        <v>152</v>
      </c>
      <c r="B466" s="3" t="s">
        <v>151</v>
      </c>
      <c r="E466"/>
    </row>
    <row r="467" spans="1:5" x14ac:dyDescent="0.25">
      <c r="A467" s="20" t="s">
        <v>75</v>
      </c>
      <c r="B467" s="3" t="s">
        <v>74</v>
      </c>
      <c r="E467"/>
    </row>
    <row r="468" spans="1:5" x14ac:dyDescent="0.25">
      <c r="A468" s="20" t="s">
        <v>114</v>
      </c>
      <c r="B468" s="3" t="s">
        <v>113</v>
      </c>
      <c r="E468"/>
    </row>
    <row r="469" spans="1:5" x14ac:dyDescent="0.25">
      <c r="A469" s="20" t="s">
        <v>116</v>
      </c>
      <c r="B469" s="3" t="s">
        <v>115</v>
      </c>
      <c r="E469"/>
    </row>
    <row r="470" spans="1:5" x14ac:dyDescent="0.25">
      <c r="A470" s="20" t="s">
        <v>108</v>
      </c>
      <c r="B470" s="3" t="s">
        <v>107</v>
      </c>
      <c r="E470"/>
    </row>
    <row r="471" spans="1:5" x14ac:dyDescent="0.25">
      <c r="A471" s="20" t="s">
        <v>150</v>
      </c>
      <c r="B471" s="3" t="s">
        <v>149</v>
      </c>
      <c r="E471"/>
    </row>
    <row r="472" spans="1:5" x14ac:dyDescent="0.25">
      <c r="A472" s="20" t="s">
        <v>200</v>
      </c>
      <c r="B472" s="3" t="s">
        <v>199</v>
      </c>
      <c r="E472"/>
    </row>
    <row r="473" spans="1:5" x14ac:dyDescent="0.25">
      <c r="A473" s="20" t="s">
        <v>244</v>
      </c>
      <c r="B473" s="3" t="s">
        <v>243</v>
      </c>
      <c r="E473"/>
    </row>
    <row r="474" spans="1:5" x14ac:dyDescent="0.25">
      <c r="A474" s="20" t="s">
        <v>278</v>
      </c>
      <c r="B474" s="3" t="s">
        <v>277</v>
      </c>
      <c r="E474"/>
    </row>
    <row r="475" spans="1:5" x14ac:dyDescent="0.25">
      <c r="A475" s="20" t="s">
        <v>295</v>
      </c>
      <c r="B475" s="3" t="s">
        <v>294</v>
      </c>
      <c r="E475"/>
    </row>
    <row r="476" spans="1:5" x14ac:dyDescent="0.25">
      <c r="A476" s="20" t="s">
        <v>204</v>
      </c>
      <c r="B476" s="3" t="s">
        <v>203</v>
      </c>
      <c r="E476"/>
    </row>
    <row r="477" spans="1:5" x14ac:dyDescent="0.25">
      <c r="A477" s="20" t="s">
        <v>282</v>
      </c>
      <c r="B477" s="3" t="s">
        <v>281</v>
      </c>
      <c r="E477"/>
    </row>
    <row r="478" spans="1:5" x14ac:dyDescent="0.25">
      <c r="A478" s="20" t="s">
        <v>248</v>
      </c>
      <c r="B478" s="3" t="s">
        <v>247</v>
      </c>
      <c r="E478"/>
    </row>
    <row r="479" spans="1:5" x14ac:dyDescent="0.25">
      <c r="A479" s="20" t="s">
        <v>250</v>
      </c>
      <c r="B479" s="3" t="s">
        <v>249</v>
      </c>
      <c r="E479"/>
    </row>
    <row r="480" spans="1:5" x14ac:dyDescent="0.25">
      <c r="A480" s="20" t="s">
        <v>206</v>
      </c>
      <c r="B480" s="3" t="s">
        <v>205</v>
      </c>
      <c r="E480"/>
    </row>
    <row r="481" spans="1:5" x14ac:dyDescent="0.25">
      <c r="A481" s="20" t="s">
        <v>284</v>
      </c>
      <c r="B481" s="3" t="s">
        <v>283</v>
      </c>
      <c r="E481"/>
    </row>
    <row r="482" spans="1:5" x14ac:dyDescent="0.25">
      <c r="A482" s="20" t="s">
        <v>138</v>
      </c>
      <c r="B482" s="3" t="s">
        <v>137</v>
      </c>
      <c r="E482"/>
    </row>
    <row r="483" spans="1:5" x14ac:dyDescent="0.25">
      <c r="A483" s="20" t="s">
        <v>140</v>
      </c>
      <c r="B483" s="3" t="s">
        <v>139</v>
      </c>
      <c r="E483"/>
    </row>
    <row r="484" spans="1:5" x14ac:dyDescent="0.25">
      <c r="A484" s="20" t="s">
        <v>110</v>
      </c>
      <c r="B484" s="3" t="s">
        <v>109</v>
      </c>
      <c r="E484"/>
    </row>
    <row r="485" spans="1:5" x14ac:dyDescent="0.25">
      <c r="A485" s="20" t="s">
        <v>226</v>
      </c>
      <c r="B485" s="3" t="s">
        <v>225</v>
      </c>
      <c r="E485"/>
    </row>
    <row r="486" spans="1:5" x14ac:dyDescent="0.25">
      <c r="A486" s="20" t="s">
        <v>142</v>
      </c>
      <c r="B486" s="3" t="s">
        <v>141</v>
      </c>
      <c r="E486"/>
    </row>
    <row r="487" spans="1:5" x14ac:dyDescent="0.25">
      <c r="A487" s="20" t="s">
        <v>144</v>
      </c>
      <c r="B487" s="3" t="s">
        <v>143</v>
      </c>
      <c r="E487"/>
    </row>
    <row r="488" spans="1:5" x14ac:dyDescent="0.25">
      <c r="A488" s="20" t="s">
        <v>112</v>
      </c>
      <c r="B488" s="3" t="s">
        <v>111</v>
      </c>
      <c r="E488"/>
    </row>
    <row r="489" spans="1:5" x14ac:dyDescent="0.25">
      <c r="A489" s="20" t="s">
        <v>292</v>
      </c>
      <c r="B489" s="3" t="s">
        <v>291</v>
      </c>
      <c r="E489"/>
    </row>
    <row r="490" spans="1:5" x14ac:dyDescent="0.25">
      <c r="A490" s="20" t="s">
        <v>148</v>
      </c>
      <c r="B490" s="3" t="s">
        <v>147</v>
      </c>
      <c r="E490"/>
    </row>
    <row r="491" spans="1:5" x14ac:dyDescent="0.25">
      <c r="A491" s="20" t="s">
        <v>197</v>
      </c>
      <c r="B491" s="3" t="s">
        <v>196</v>
      </c>
      <c r="E491"/>
    </row>
    <row r="492" spans="1:5" x14ac:dyDescent="0.25">
      <c r="A492" s="17"/>
      <c r="E492"/>
    </row>
    <row r="493" spans="1:5" x14ac:dyDescent="0.25">
      <c r="A493" s="17"/>
      <c r="E493"/>
    </row>
    <row r="494" spans="1:5" x14ac:dyDescent="0.25">
      <c r="E494"/>
    </row>
    <row r="496" spans="1:5" x14ac:dyDescent="0.25">
      <c r="A496" s="6" t="s">
        <v>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ColWidth="10.85546875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ColWidth="10.85546875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V12"/>
  <sheetViews>
    <sheetView workbookViewId="0">
      <selection activeCell="EE12" sqref="EE12"/>
    </sheetView>
  </sheetViews>
  <sheetFormatPr defaultColWidth="10.85546875" defaultRowHeight="15" x14ac:dyDescent="0.25"/>
  <sheetData>
    <row r="1" spans="1:256" x14ac:dyDescent="0.25">
      <c r="A1" t="e">
        <f>IF('Ark1'!1:1,"AAAAAC/n+wA=",0)</f>
        <v>#VALUE!</v>
      </c>
      <c r="B1" t="e">
        <f>AND('Ark1'!A1,"AAAAAC/n+wE=")</f>
        <v>#VALUE!</v>
      </c>
      <c r="C1" t="e">
        <f>AND('Ark1'!B1,"AAAAAC/n+wI=")</f>
        <v>#VALUE!</v>
      </c>
      <c r="D1" t="e">
        <f>AND('Ark1'!C1,"AAAAAC/n+wM=")</f>
        <v>#VALUE!</v>
      </c>
      <c r="E1" t="e">
        <f>AND('Ark1'!D1,"AAAAAC/n+wQ=")</f>
        <v>#VALUE!</v>
      </c>
      <c r="F1" t="e">
        <f>AND('Ark1'!E1,"AAAAAC/n+wU=")</f>
        <v>#VALUE!</v>
      </c>
      <c r="G1">
        <f>IF('Ark1'!2:2,"AAAAAC/n+wY=",0)</f>
        <v>0</v>
      </c>
      <c r="H1" t="e">
        <f>AND('Ark1'!A2,"AAAAAC/n+wc=")</f>
        <v>#VALUE!</v>
      </c>
      <c r="I1" t="e">
        <f>AND('Ark1'!B2,"AAAAAC/n+wg=")</f>
        <v>#VALUE!</v>
      </c>
      <c r="J1" t="e">
        <f>AND('Ark1'!C2,"AAAAAC/n+wk=")</f>
        <v>#VALUE!</v>
      </c>
      <c r="K1" t="e">
        <f>AND('Ark1'!D2,"AAAAAC/n+wo=")</f>
        <v>#VALUE!</v>
      </c>
      <c r="L1" t="e">
        <f>AND('Ark1'!E2,"AAAAAC/n+ws=")</f>
        <v>#VALUE!</v>
      </c>
      <c r="M1">
        <f>IF('Ark1'!3:3,"AAAAAC/n+ww=",0)</f>
        <v>0</v>
      </c>
      <c r="N1" t="e">
        <f>AND('Ark1'!A3,"AAAAAC/n+w0=")</f>
        <v>#VALUE!</v>
      </c>
      <c r="O1" t="e">
        <f>AND('Ark1'!B3,"AAAAAC/n+w4=")</f>
        <v>#VALUE!</v>
      </c>
      <c r="P1" t="e">
        <f>AND('Ark1'!C3,"AAAAAC/n+w8=")</f>
        <v>#VALUE!</v>
      </c>
      <c r="Q1" t="e">
        <f>AND('Ark1'!D3,"AAAAAC/n+xA=")</f>
        <v>#VALUE!</v>
      </c>
      <c r="R1" t="e">
        <f>AND('Ark1'!E3,"AAAAAC/n+xE=")</f>
        <v>#VALUE!</v>
      </c>
      <c r="S1">
        <f>IF('Ark1'!4:4,"AAAAAC/n+xI=",0)</f>
        <v>0</v>
      </c>
      <c r="T1" t="e">
        <f>AND('Ark1'!A4,"AAAAAC/n+xM=")</f>
        <v>#VALUE!</v>
      </c>
      <c r="U1" t="e">
        <f>AND('Ark1'!B4,"AAAAAC/n+xQ=")</f>
        <v>#VALUE!</v>
      </c>
      <c r="V1" t="e">
        <f>AND('Ark1'!C4,"AAAAAC/n+xU=")</f>
        <v>#VALUE!</v>
      </c>
      <c r="W1" t="e">
        <f>AND('Ark1'!D4,"AAAAAC/n+xY=")</f>
        <v>#VALUE!</v>
      </c>
      <c r="X1" t="e">
        <f>AND('Ark1'!E4,"AAAAAC/n+xc=")</f>
        <v>#VALUE!</v>
      </c>
      <c r="Y1">
        <f>IF('Ark1'!5:5,"AAAAAC/n+xg=",0)</f>
        <v>0</v>
      </c>
      <c r="Z1" t="e">
        <f>AND('Ark1'!A5,"AAAAAC/n+xk=")</f>
        <v>#VALUE!</v>
      </c>
      <c r="AA1" t="e">
        <f>AND('Ark1'!B5,"AAAAAC/n+xo=")</f>
        <v>#VALUE!</v>
      </c>
      <c r="AB1" t="e">
        <f>AND('Ark1'!C5,"AAAAAC/n+xs=")</f>
        <v>#VALUE!</v>
      </c>
      <c r="AC1" t="e">
        <f>AND('Ark1'!D5,"AAAAAC/n+xw=")</f>
        <v>#VALUE!</v>
      </c>
      <c r="AD1" t="e">
        <f>AND('Ark1'!E5,"AAAAAC/n+x0=")</f>
        <v>#VALUE!</v>
      </c>
      <c r="AE1">
        <f>IF('Ark1'!6:6,"AAAAAC/n+x4=",0)</f>
        <v>0</v>
      </c>
      <c r="AF1" t="e">
        <f>AND('Ark1'!A6,"AAAAAC/n+x8=")</f>
        <v>#VALUE!</v>
      </c>
      <c r="AG1" t="e">
        <f>AND('Ark1'!B6,"AAAAAC/n+yA=")</f>
        <v>#VALUE!</v>
      </c>
      <c r="AH1" t="e">
        <f>AND('Ark1'!C6,"AAAAAC/n+yE=")</f>
        <v>#VALUE!</v>
      </c>
      <c r="AI1" t="e">
        <f>AND('Ark1'!D6,"AAAAAC/n+yI=")</f>
        <v>#VALUE!</v>
      </c>
      <c r="AJ1" t="e">
        <f>AND('Ark1'!E6,"AAAAAC/n+yM=")</f>
        <v>#VALUE!</v>
      </c>
      <c r="AK1">
        <f>IF('Ark1'!7:7,"AAAAAC/n+yQ=",0)</f>
        <v>0</v>
      </c>
      <c r="AL1" t="e">
        <f>AND('Ark1'!A7,"AAAAAC/n+yU=")</f>
        <v>#VALUE!</v>
      </c>
      <c r="AM1" t="e">
        <f>AND('Ark1'!B7,"AAAAAC/n+yY=")</f>
        <v>#VALUE!</v>
      </c>
      <c r="AN1" t="e">
        <f>AND('Ark1'!C7,"AAAAAC/n+yc=")</f>
        <v>#VALUE!</v>
      </c>
      <c r="AO1" t="e">
        <f>AND('Ark1'!D7,"AAAAAC/n+yg=")</f>
        <v>#VALUE!</v>
      </c>
      <c r="AP1" t="e">
        <f>AND('Ark1'!E7,"AAAAAC/n+yk=")</f>
        <v>#VALUE!</v>
      </c>
      <c r="AQ1">
        <f>IF('Ark1'!8:8,"AAAAAC/n+yo=",0)</f>
        <v>0</v>
      </c>
      <c r="AR1" t="e">
        <f>AND('Ark1'!A8,"AAAAAC/n+ys=")</f>
        <v>#VALUE!</v>
      </c>
      <c r="AS1" t="e">
        <f>AND('Ark1'!B8,"AAAAAC/n+yw=")</f>
        <v>#VALUE!</v>
      </c>
      <c r="AT1" t="e">
        <f>AND('Ark1'!C8,"AAAAAC/n+y0=")</f>
        <v>#VALUE!</v>
      </c>
      <c r="AU1" t="e">
        <f>AND('Ark1'!D8,"AAAAAC/n+y4=")</f>
        <v>#VALUE!</v>
      </c>
      <c r="AV1" t="e">
        <f>AND('Ark1'!E8,"AAAAAC/n+y8=")</f>
        <v>#VALUE!</v>
      </c>
      <c r="AW1">
        <f>IF('Ark1'!9:9,"AAAAAC/n+zA=",0)</f>
        <v>0</v>
      </c>
      <c r="AX1" t="e">
        <f>AND('Ark1'!A9,"AAAAAC/n+zE=")</f>
        <v>#VALUE!</v>
      </c>
      <c r="AY1" t="e">
        <f>AND('Ark1'!B9,"AAAAAC/n+zI=")</f>
        <v>#VALUE!</v>
      </c>
      <c r="AZ1" t="e">
        <f>AND('Ark1'!C9,"AAAAAC/n+zM=")</f>
        <v>#VALUE!</v>
      </c>
      <c r="BA1" t="e">
        <f>AND('Ark1'!D9,"AAAAAC/n+zQ=")</f>
        <v>#VALUE!</v>
      </c>
      <c r="BB1" t="e">
        <f>AND('Ark1'!E9,"AAAAAC/n+zU=")</f>
        <v>#VALUE!</v>
      </c>
      <c r="BC1">
        <f>IF('Ark1'!10:10,"AAAAAC/n+zY=",0)</f>
        <v>0</v>
      </c>
      <c r="BD1" t="e">
        <f>AND('Ark1'!A10,"AAAAAC/n+zc=")</f>
        <v>#VALUE!</v>
      </c>
      <c r="BE1" t="e">
        <f>AND('Ark1'!B10,"AAAAAC/n+zg=")</f>
        <v>#VALUE!</v>
      </c>
      <c r="BF1" t="e">
        <f>AND('Ark1'!C10,"AAAAAC/n+zk=")</f>
        <v>#VALUE!</v>
      </c>
      <c r="BG1" t="e">
        <f>AND('Ark1'!D10,"AAAAAC/n+zo=")</f>
        <v>#VALUE!</v>
      </c>
      <c r="BH1" t="e">
        <f>AND('Ark1'!E10,"AAAAAC/n+zs=")</f>
        <v>#VALUE!</v>
      </c>
      <c r="BI1">
        <f>IF('Ark1'!11:11,"AAAAAC/n+zw=",0)</f>
        <v>0</v>
      </c>
      <c r="BJ1" t="e">
        <f>AND('Ark1'!A11,"AAAAAC/n+z0=")</f>
        <v>#VALUE!</v>
      </c>
      <c r="BK1" t="e">
        <f>AND('Ark1'!B11,"AAAAAC/n+z4=")</f>
        <v>#VALUE!</v>
      </c>
      <c r="BL1" t="e">
        <f>AND('Ark1'!C11,"AAAAAC/n+z8=")</f>
        <v>#VALUE!</v>
      </c>
      <c r="BM1" t="e">
        <f>AND('Ark1'!D11,"AAAAAC/n+0A=")</f>
        <v>#VALUE!</v>
      </c>
      <c r="BN1" t="e">
        <f>AND('Ark1'!E11,"AAAAAC/n+0E=")</f>
        <v>#VALUE!</v>
      </c>
      <c r="BO1">
        <f>IF('Ark1'!12:12,"AAAAAC/n+0I=",0)</f>
        <v>0</v>
      </c>
      <c r="BP1" t="e">
        <f>AND('Ark1'!A12,"AAAAAC/n+0M=")</f>
        <v>#VALUE!</v>
      </c>
      <c r="BQ1" t="e">
        <f>AND('Ark1'!B12,"AAAAAC/n+0Q=")</f>
        <v>#VALUE!</v>
      </c>
      <c r="BR1" t="e">
        <f>AND('Ark1'!C12,"AAAAAC/n+0U=")</f>
        <v>#VALUE!</v>
      </c>
      <c r="BS1" t="e">
        <f>AND('Ark1'!D12,"AAAAAC/n+0Y=")</f>
        <v>#VALUE!</v>
      </c>
      <c r="BT1" t="e">
        <f>AND('Ark1'!E12,"AAAAAC/n+0c=")</f>
        <v>#VALUE!</v>
      </c>
      <c r="BU1">
        <f>IF('Ark1'!13:13,"AAAAAC/n+0g=",0)</f>
        <v>0</v>
      </c>
      <c r="BV1" t="e">
        <f>AND('Ark1'!A13,"AAAAAC/n+0k=")</f>
        <v>#VALUE!</v>
      </c>
      <c r="BW1" t="e">
        <f>AND('Ark1'!B13,"AAAAAC/n+0o=")</f>
        <v>#VALUE!</v>
      </c>
      <c r="BX1" t="e">
        <f>AND('Ark1'!C13,"AAAAAC/n+0s=")</f>
        <v>#VALUE!</v>
      </c>
      <c r="BY1" t="e">
        <f>AND('Ark1'!D13,"AAAAAC/n+0w=")</f>
        <v>#VALUE!</v>
      </c>
      <c r="BZ1" t="e">
        <f>AND('Ark1'!E13,"AAAAAC/n+00=")</f>
        <v>#VALUE!</v>
      </c>
      <c r="CA1">
        <f>IF('Ark1'!14:14,"AAAAAC/n+04=",0)</f>
        <v>0</v>
      </c>
      <c r="CB1" t="e">
        <f>AND('Ark1'!A14,"AAAAAC/n+08=")</f>
        <v>#VALUE!</v>
      </c>
      <c r="CC1" t="e">
        <f>AND('Ark1'!B14,"AAAAAC/n+1A=")</f>
        <v>#VALUE!</v>
      </c>
      <c r="CD1" t="e">
        <f>AND('Ark1'!C14,"AAAAAC/n+1E=")</f>
        <v>#VALUE!</v>
      </c>
      <c r="CE1" t="e">
        <f>AND('Ark1'!D14,"AAAAAC/n+1I=")</f>
        <v>#VALUE!</v>
      </c>
      <c r="CF1" t="e">
        <f>AND('Ark1'!E14,"AAAAAC/n+1M=")</f>
        <v>#VALUE!</v>
      </c>
      <c r="CG1">
        <f>IF('Ark1'!15:15,"AAAAAC/n+1Q=",0)</f>
        <v>0</v>
      </c>
      <c r="CH1" t="e">
        <f>AND('Ark1'!A15,"AAAAAC/n+1U=")</f>
        <v>#VALUE!</v>
      </c>
      <c r="CI1" t="e">
        <f>AND('Ark1'!B15,"AAAAAC/n+1Y=")</f>
        <v>#VALUE!</v>
      </c>
      <c r="CJ1" t="e">
        <f>AND('Ark1'!C15,"AAAAAC/n+1c=")</f>
        <v>#VALUE!</v>
      </c>
      <c r="CK1" t="e">
        <f>AND('Ark1'!D15,"AAAAAC/n+1g=")</f>
        <v>#VALUE!</v>
      </c>
      <c r="CL1" t="e">
        <f>AND('Ark1'!E15,"AAAAAC/n+1k=")</f>
        <v>#VALUE!</v>
      </c>
      <c r="CM1">
        <f>IF('Ark1'!16:16,"AAAAAC/n+1o=",0)</f>
        <v>0</v>
      </c>
      <c r="CN1" t="e">
        <f>AND('Ark1'!A18,"AAAAAC/n+1s=")</f>
        <v>#VALUE!</v>
      </c>
      <c r="CO1" t="e">
        <f>AND('Ark1'!B16,"AAAAAC/n+1w=")</f>
        <v>#VALUE!</v>
      </c>
      <c r="CP1" t="e">
        <f>AND('Ark1'!C16,"AAAAAC/n+10=")</f>
        <v>#VALUE!</v>
      </c>
      <c r="CQ1" t="e">
        <f>AND('Ark1'!D16,"AAAAAC/n+14=")</f>
        <v>#VALUE!</v>
      </c>
      <c r="CR1" t="e">
        <f>AND('Ark1'!E16,"AAAAAC/n+18=")</f>
        <v>#VALUE!</v>
      </c>
      <c r="CS1" t="e">
        <f>IF('Ark1'!#REF!,"AAAAAC/n+2A=",0)</f>
        <v>#REF!</v>
      </c>
      <c r="CT1" t="e">
        <f>AND('Ark1'!#REF!,"AAAAAC/n+2E=")</f>
        <v>#REF!</v>
      </c>
      <c r="CU1" t="e">
        <f>AND('Ark1'!#REF!,"AAAAAC/n+2I=")</f>
        <v>#REF!</v>
      </c>
      <c r="CV1" t="e">
        <f>AND('Ark1'!#REF!,"AAAAAC/n+2M=")</f>
        <v>#REF!</v>
      </c>
      <c r="CW1" t="e">
        <f>AND('Ark1'!#REF!,"AAAAAC/n+2Q=")</f>
        <v>#REF!</v>
      </c>
      <c r="CX1" t="e">
        <f>AND('Ark1'!#REF!,"AAAAAC/n+2U=")</f>
        <v>#REF!</v>
      </c>
      <c r="CY1" t="e">
        <f>IF('Ark1'!#REF!,"AAAAAC/n+2Y=",0)</f>
        <v>#REF!</v>
      </c>
      <c r="CZ1" t="e">
        <f>AND('Ark1'!#REF!,"AAAAAC/n+2c=")</f>
        <v>#REF!</v>
      </c>
      <c r="DA1" t="e">
        <f>AND('Ark1'!#REF!,"AAAAAC/n+2g=")</f>
        <v>#REF!</v>
      </c>
      <c r="DB1" t="e">
        <f>AND('Ark1'!#REF!,"AAAAAC/n+2k=")</f>
        <v>#REF!</v>
      </c>
      <c r="DC1" t="e">
        <f>AND('Ark1'!#REF!,"AAAAAC/n+2o=")</f>
        <v>#REF!</v>
      </c>
      <c r="DD1" t="e">
        <f>AND('Ark1'!#REF!,"AAAAAC/n+2s=")</f>
        <v>#REF!</v>
      </c>
      <c r="DE1">
        <f>IF('Ark1'!17:17,"AAAAAC/n+2w=",0)</f>
        <v>0</v>
      </c>
      <c r="DF1" t="e">
        <f>AND('Ark1'!A17,"AAAAAC/n+20=")</f>
        <v>#VALUE!</v>
      </c>
      <c r="DG1" t="e">
        <f>AND('Ark1'!B17,"AAAAAC/n+24=")</f>
        <v>#VALUE!</v>
      </c>
      <c r="DH1" t="e">
        <f>AND('Ark1'!C17,"AAAAAC/n+28=")</f>
        <v>#VALUE!</v>
      </c>
      <c r="DI1" t="e">
        <f>AND('Ark1'!D17,"AAAAAC/n+3A=")</f>
        <v>#VALUE!</v>
      </c>
      <c r="DJ1" t="e">
        <f>AND('Ark1'!E17,"AAAAAC/n+3E=")</f>
        <v>#VALUE!</v>
      </c>
      <c r="DK1" t="e">
        <f>IF('Ark1'!#REF!,"AAAAAC/n+3I=",0)</f>
        <v>#REF!</v>
      </c>
      <c r="DL1" t="e">
        <f>AND('Ark1'!#REF!,"AAAAAC/n+3M=")</f>
        <v>#REF!</v>
      </c>
      <c r="DM1" t="e">
        <f>AND('Ark1'!#REF!,"AAAAAC/n+3Q=")</f>
        <v>#REF!</v>
      </c>
      <c r="DN1" t="e">
        <f>AND('Ark1'!#REF!,"AAAAAC/n+3U=")</f>
        <v>#REF!</v>
      </c>
      <c r="DO1" t="e">
        <f>AND('Ark1'!#REF!,"AAAAAC/n+3Y=")</f>
        <v>#REF!</v>
      </c>
      <c r="DP1" t="e">
        <f>AND('Ark1'!#REF!,"AAAAAC/n+3c=")</f>
        <v>#REF!</v>
      </c>
      <c r="DQ1">
        <f>IF('Ark1'!19:19,"AAAAAC/n+3g=",0)</f>
        <v>0</v>
      </c>
      <c r="DR1" t="e">
        <f>AND('Ark1'!A19,"AAAAAC/n+3k=")</f>
        <v>#VALUE!</v>
      </c>
      <c r="DS1" t="e">
        <f>AND('Ark1'!B19,"AAAAAC/n+3o=")</f>
        <v>#VALUE!</v>
      </c>
      <c r="DT1" t="e">
        <f>AND('Ark1'!C19,"AAAAAC/n+3s=")</f>
        <v>#VALUE!</v>
      </c>
      <c r="DU1" t="e">
        <f>AND('Ark1'!D19,"AAAAAC/n+3w=")</f>
        <v>#VALUE!</v>
      </c>
      <c r="DV1" t="e">
        <f>AND('Ark1'!E19,"AAAAAC/n+30=")</f>
        <v>#VALUE!</v>
      </c>
      <c r="DW1">
        <f>IF('Ark1'!20:20,"AAAAAC/n+34=",0)</f>
        <v>0</v>
      </c>
      <c r="DX1" t="e">
        <f>AND('Ark1'!A20,"AAAAAC/n+38=")</f>
        <v>#VALUE!</v>
      </c>
      <c r="DY1" t="e">
        <f>AND('Ark1'!B20,"AAAAAC/n+4A=")</f>
        <v>#VALUE!</v>
      </c>
      <c r="DZ1" t="e">
        <f>AND('Ark1'!C20,"AAAAAC/n+4E=")</f>
        <v>#VALUE!</v>
      </c>
      <c r="EA1" t="e">
        <f>AND('Ark1'!D20,"AAAAAC/n+4I=")</f>
        <v>#VALUE!</v>
      </c>
      <c r="EB1" t="e">
        <f>AND('Ark1'!E20,"AAAAAC/n+4M=")</f>
        <v>#VALUE!</v>
      </c>
      <c r="EC1">
        <f>IF('Ark1'!21:21,"AAAAAC/n+4Q=",0)</f>
        <v>0</v>
      </c>
      <c r="ED1" t="e">
        <f>AND('Ark1'!A21,"AAAAAC/n+4U=")</f>
        <v>#VALUE!</v>
      </c>
      <c r="EE1" t="e">
        <f>AND('Ark1'!B21,"AAAAAC/n+4Y=")</f>
        <v>#VALUE!</v>
      </c>
      <c r="EF1" t="e">
        <f>AND('Ark1'!C21,"AAAAAC/n+4c=")</f>
        <v>#VALUE!</v>
      </c>
      <c r="EG1" t="e">
        <f>AND('Ark1'!D21,"AAAAAC/n+4g=")</f>
        <v>#VALUE!</v>
      </c>
      <c r="EH1" t="e">
        <f>AND('Ark1'!E21,"AAAAAC/n+4k=")</f>
        <v>#VALUE!</v>
      </c>
      <c r="EI1">
        <f>IF('Ark1'!22:22,"AAAAAC/n+4o=",0)</f>
        <v>0</v>
      </c>
      <c r="EJ1" t="e">
        <f>AND('Ark1'!A22,"AAAAAC/n+4s=")</f>
        <v>#VALUE!</v>
      </c>
      <c r="EK1" t="e">
        <f>AND('Ark1'!B22,"AAAAAC/n+4w=")</f>
        <v>#VALUE!</v>
      </c>
      <c r="EL1" t="e">
        <f>AND('Ark1'!C22,"AAAAAC/n+40=")</f>
        <v>#VALUE!</v>
      </c>
      <c r="EM1" t="e">
        <f>AND('Ark1'!D22,"AAAAAC/n+44=")</f>
        <v>#VALUE!</v>
      </c>
      <c r="EN1" t="e">
        <f>AND('Ark1'!E22,"AAAAAC/n+48=")</f>
        <v>#VALUE!</v>
      </c>
      <c r="EO1">
        <f>IF('Ark1'!23:23,"AAAAAC/n+5A=",0)</f>
        <v>0</v>
      </c>
      <c r="EP1" t="e">
        <f>AND('Ark1'!A23,"AAAAAC/n+5E=")</f>
        <v>#VALUE!</v>
      </c>
      <c r="EQ1" t="e">
        <f>AND('Ark1'!B23,"AAAAAC/n+5I=")</f>
        <v>#VALUE!</v>
      </c>
      <c r="ER1" t="e">
        <f>AND('Ark1'!C23,"AAAAAC/n+5M=")</f>
        <v>#VALUE!</v>
      </c>
      <c r="ES1" t="e">
        <f>AND('Ark1'!D23,"AAAAAC/n+5Q=")</f>
        <v>#VALUE!</v>
      </c>
      <c r="ET1" t="e">
        <f>AND('Ark1'!E23,"AAAAAC/n+5U=")</f>
        <v>#VALUE!</v>
      </c>
      <c r="EU1">
        <f>IF('Ark1'!24:24,"AAAAAC/n+5Y=",0)</f>
        <v>0</v>
      </c>
      <c r="EV1" t="e">
        <f>AND('Ark1'!A24,"AAAAAC/n+5c=")</f>
        <v>#VALUE!</v>
      </c>
      <c r="EW1" t="e">
        <f>AND('Ark1'!B24,"AAAAAC/n+5g=")</f>
        <v>#VALUE!</v>
      </c>
      <c r="EX1" t="e">
        <f>AND('Ark1'!C24,"AAAAAC/n+5k=")</f>
        <v>#VALUE!</v>
      </c>
      <c r="EY1" t="e">
        <f>AND('Ark1'!D24,"AAAAAC/n+5o=")</f>
        <v>#VALUE!</v>
      </c>
      <c r="EZ1" t="e">
        <f>AND('Ark1'!E24,"AAAAAC/n+5s=")</f>
        <v>#VALUE!</v>
      </c>
      <c r="FA1">
        <f>IF('Ark1'!25:25,"AAAAAC/n+5w=",0)</f>
        <v>0</v>
      </c>
      <c r="FB1" t="e">
        <f>AND('Ark1'!A25,"AAAAAC/n+50=")</f>
        <v>#VALUE!</v>
      </c>
      <c r="FC1" t="e">
        <f>AND('Ark1'!B25,"AAAAAC/n+54=")</f>
        <v>#VALUE!</v>
      </c>
      <c r="FD1" t="e">
        <f>AND('Ark1'!C25,"AAAAAC/n+58=")</f>
        <v>#VALUE!</v>
      </c>
      <c r="FE1" t="e">
        <f>AND('Ark1'!D25,"AAAAAC/n+6A=")</f>
        <v>#VALUE!</v>
      </c>
      <c r="FF1" t="e">
        <f>AND('Ark1'!E25,"AAAAAC/n+6E=")</f>
        <v>#VALUE!</v>
      </c>
      <c r="FG1">
        <f>IF('Ark1'!26:26,"AAAAAC/n+6I=",0)</f>
        <v>0</v>
      </c>
      <c r="FH1" t="e">
        <f>AND('Ark1'!A26,"AAAAAC/n+6M=")</f>
        <v>#VALUE!</v>
      </c>
      <c r="FI1" t="e">
        <f>AND('Ark1'!B26,"AAAAAC/n+6Q=")</f>
        <v>#VALUE!</v>
      </c>
      <c r="FJ1" t="e">
        <f>AND('Ark1'!C26,"AAAAAC/n+6U=")</f>
        <v>#VALUE!</v>
      </c>
      <c r="FK1" t="e">
        <f>AND('Ark1'!D26,"AAAAAC/n+6Y=")</f>
        <v>#VALUE!</v>
      </c>
      <c r="FL1" t="e">
        <f>AND('Ark1'!E26,"AAAAAC/n+6c=")</f>
        <v>#VALUE!</v>
      </c>
      <c r="FM1">
        <f>IF('Ark1'!27:27,"AAAAAC/n+6g=",0)</f>
        <v>0</v>
      </c>
      <c r="FN1" t="e">
        <f>AND('Ark1'!A27,"AAAAAC/n+6k=")</f>
        <v>#VALUE!</v>
      </c>
      <c r="FO1" t="e">
        <f>AND('Ark1'!B27,"AAAAAC/n+6o=")</f>
        <v>#VALUE!</v>
      </c>
      <c r="FP1" t="e">
        <f>AND('Ark1'!C27,"AAAAAC/n+6s=")</f>
        <v>#VALUE!</v>
      </c>
      <c r="FQ1" t="e">
        <f>AND('Ark1'!D27,"AAAAAC/n+6w=")</f>
        <v>#VALUE!</v>
      </c>
      <c r="FR1" t="e">
        <f>AND('Ark1'!E27,"AAAAAC/n+60=")</f>
        <v>#VALUE!</v>
      </c>
      <c r="FS1">
        <f>IF('Ark1'!28:28,"AAAAAC/n+64=",0)</f>
        <v>0</v>
      </c>
      <c r="FT1" t="e">
        <f>AND('Ark1'!A28,"AAAAAC/n+68=")</f>
        <v>#VALUE!</v>
      </c>
      <c r="FU1" t="e">
        <f>AND('Ark1'!B28,"AAAAAC/n+7A=")</f>
        <v>#VALUE!</v>
      </c>
      <c r="FV1" t="e">
        <f>AND('Ark1'!C28,"AAAAAC/n+7E=")</f>
        <v>#VALUE!</v>
      </c>
      <c r="FW1" t="e">
        <f>AND('Ark1'!D28,"AAAAAC/n+7I=")</f>
        <v>#VALUE!</v>
      </c>
      <c r="FX1" t="e">
        <f>AND('Ark1'!E28,"AAAAAC/n+7M=")</f>
        <v>#VALUE!</v>
      </c>
      <c r="FY1">
        <f>IF('Ark1'!29:29,"AAAAAC/n+7Q=",0)</f>
        <v>0</v>
      </c>
      <c r="FZ1" t="e">
        <f>AND('Ark1'!A29,"AAAAAC/n+7U=")</f>
        <v>#VALUE!</v>
      </c>
      <c r="GA1" t="e">
        <f>AND('Ark1'!B29,"AAAAAC/n+7Y=")</f>
        <v>#VALUE!</v>
      </c>
      <c r="GB1" t="e">
        <f>AND('Ark1'!C29,"AAAAAC/n+7c=")</f>
        <v>#VALUE!</v>
      </c>
      <c r="GC1" t="e">
        <f>AND('Ark1'!D29,"AAAAAC/n+7g=")</f>
        <v>#VALUE!</v>
      </c>
      <c r="GD1" t="e">
        <f>AND('Ark1'!E29,"AAAAAC/n+7k=")</f>
        <v>#VALUE!</v>
      </c>
      <c r="GE1">
        <f>IF('Ark1'!30:30,"AAAAAC/n+7o=",0)</f>
        <v>0</v>
      </c>
      <c r="GF1" t="e">
        <f>AND('Ark1'!A30,"AAAAAC/n+7s=")</f>
        <v>#VALUE!</v>
      </c>
      <c r="GG1" t="e">
        <f>AND('Ark1'!B30,"AAAAAC/n+7w=")</f>
        <v>#VALUE!</v>
      </c>
      <c r="GH1" t="e">
        <f>AND('Ark1'!C30,"AAAAAC/n+70=")</f>
        <v>#VALUE!</v>
      </c>
      <c r="GI1" t="e">
        <f>AND('Ark1'!D30,"AAAAAC/n+74=")</f>
        <v>#VALUE!</v>
      </c>
      <c r="GJ1" t="e">
        <f>AND('Ark1'!E30,"AAAAAC/n+78=")</f>
        <v>#VALUE!</v>
      </c>
      <c r="GK1">
        <f>IF('Ark1'!31:31,"AAAAAC/n+8A=",0)</f>
        <v>0</v>
      </c>
      <c r="GL1" t="e">
        <f>AND('Ark1'!A31,"AAAAAC/n+8E=")</f>
        <v>#VALUE!</v>
      </c>
      <c r="GM1" t="e">
        <f>AND('Ark1'!B31,"AAAAAC/n+8I=")</f>
        <v>#VALUE!</v>
      </c>
      <c r="GN1" t="e">
        <f>AND('Ark1'!C31,"AAAAAC/n+8M=")</f>
        <v>#VALUE!</v>
      </c>
      <c r="GO1" t="e">
        <f>AND('Ark1'!D31,"AAAAAC/n+8Q=")</f>
        <v>#VALUE!</v>
      </c>
      <c r="GP1" t="e">
        <f>AND('Ark1'!E31,"AAAAAC/n+8U=")</f>
        <v>#VALUE!</v>
      </c>
      <c r="GQ1">
        <f>IF('Ark1'!32:32,"AAAAAC/n+8Y=",0)</f>
        <v>0</v>
      </c>
      <c r="GR1" t="e">
        <f>AND('Ark1'!A32,"AAAAAC/n+8c=")</f>
        <v>#VALUE!</v>
      </c>
      <c r="GS1" t="e">
        <f>AND('Ark1'!B32,"AAAAAC/n+8g=")</f>
        <v>#VALUE!</v>
      </c>
      <c r="GT1" t="e">
        <f>AND('Ark1'!C32,"AAAAAC/n+8k=")</f>
        <v>#VALUE!</v>
      </c>
      <c r="GU1" t="e">
        <f>AND('Ark1'!D32,"AAAAAC/n+8o=")</f>
        <v>#VALUE!</v>
      </c>
      <c r="GV1" t="e">
        <f>AND('Ark1'!E32,"AAAAAC/n+8s=")</f>
        <v>#VALUE!</v>
      </c>
      <c r="GW1">
        <f>IF('Ark1'!33:33,"AAAAAC/n+8w=",0)</f>
        <v>0</v>
      </c>
      <c r="GX1" t="e">
        <f>AND('Ark1'!A33,"AAAAAC/n+80=")</f>
        <v>#VALUE!</v>
      </c>
      <c r="GY1" t="e">
        <f>AND('Ark1'!B33,"AAAAAC/n+84=")</f>
        <v>#VALUE!</v>
      </c>
      <c r="GZ1" t="e">
        <f>AND('Ark1'!C33,"AAAAAC/n+88=")</f>
        <v>#VALUE!</v>
      </c>
      <c r="HA1" t="e">
        <f>AND('Ark1'!D33,"AAAAAC/n+9A=")</f>
        <v>#VALUE!</v>
      </c>
      <c r="HB1" t="e">
        <f>AND('Ark1'!E33,"AAAAAC/n+9E=")</f>
        <v>#VALUE!</v>
      </c>
      <c r="HC1">
        <f>IF('Ark1'!34:34,"AAAAAC/n+9I=",0)</f>
        <v>0</v>
      </c>
      <c r="HD1" t="e">
        <f>AND('Ark1'!A34,"AAAAAC/n+9M=")</f>
        <v>#VALUE!</v>
      </c>
      <c r="HE1" t="e">
        <f>AND('Ark1'!B34,"AAAAAC/n+9Q=")</f>
        <v>#VALUE!</v>
      </c>
      <c r="HF1" t="e">
        <f>AND('Ark1'!C34,"AAAAAC/n+9U=")</f>
        <v>#VALUE!</v>
      </c>
      <c r="HG1" t="e">
        <f>AND('Ark1'!D34,"AAAAAC/n+9Y=")</f>
        <v>#VALUE!</v>
      </c>
      <c r="HH1" t="e">
        <f>AND('Ark1'!E34,"AAAAAC/n+9c=")</f>
        <v>#VALUE!</v>
      </c>
      <c r="HI1">
        <f>IF('Ark1'!35:35,"AAAAAC/n+9g=",0)</f>
        <v>0</v>
      </c>
      <c r="HJ1" t="e">
        <f>AND('Ark1'!A35,"AAAAAC/n+9k=")</f>
        <v>#VALUE!</v>
      </c>
      <c r="HK1" t="e">
        <f>AND('Ark1'!B35,"AAAAAC/n+9o=")</f>
        <v>#VALUE!</v>
      </c>
      <c r="HL1" t="e">
        <f>AND('Ark1'!C35,"AAAAAC/n+9s=")</f>
        <v>#VALUE!</v>
      </c>
      <c r="HM1" t="e">
        <f>AND('Ark1'!D35,"AAAAAC/n+9w=")</f>
        <v>#VALUE!</v>
      </c>
      <c r="HN1" t="e">
        <f>AND('Ark1'!E35,"AAAAAC/n+90=")</f>
        <v>#VALUE!</v>
      </c>
      <c r="HO1">
        <f>IF('Ark1'!36:36,"AAAAAC/n+94=",0)</f>
        <v>0</v>
      </c>
      <c r="HP1" t="e">
        <f>AND('Ark1'!A36,"AAAAAC/n+98=")</f>
        <v>#VALUE!</v>
      </c>
      <c r="HQ1" t="e">
        <f>AND('Ark1'!B36,"AAAAAC/n++A=")</f>
        <v>#VALUE!</v>
      </c>
      <c r="HR1" t="e">
        <f>AND('Ark1'!C36,"AAAAAC/n++E=")</f>
        <v>#VALUE!</v>
      </c>
      <c r="HS1" t="e">
        <f>AND('Ark1'!D36,"AAAAAC/n++I=")</f>
        <v>#VALUE!</v>
      </c>
      <c r="HT1" t="e">
        <f>AND('Ark1'!E36,"AAAAAC/n++M=")</f>
        <v>#VALUE!</v>
      </c>
      <c r="HU1">
        <f>IF('Ark1'!37:37,"AAAAAC/n++Q=",0)</f>
        <v>0</v>
      </c>
      <c r="HV1" t="e">
        <f>AND('Ark1'!A37,"AAAAAC/n++U=")</f>
        <v>#VALUE!</v>
      </c>
      <c r="HW1" t="e">
        <f>AND('Ark1'!B37,"AAAAAC/n++Y=")</f>
        <v>#VALUE!</v>
      </c>
      <c r="HX1" t="e">
        <f>AND('Ark1'!C37,"AAAAAC/n++c=")</f>
        <v>#VALUE!</v>
      </c>
      <c r="HY1" t="e">
        <f>AND('Ark1'!D37,"AAAAAC/n++g=")</f>
        <v>#VALUE!</v>
      </c>
      <c r="HZ1" t="e">
        <f>AND('Ark1'!E37,"AAAAAC/n++k=")</f>
        <v>#VALUE!</v>
      </c>
      <c r="IA1">
        <f>IF('Ark1'!38:38,"AAAAAC/n++o=",0)</f>
        <v>0</v>
      </c>
      <c r="IB1" t="e">
        <f>AND('Ark1'!A38,"AAAAAC/n++s=")</f>
        <v>#VALUE!</v>
      </c>
      <c r="IC1" t="e">
        <f>AND('Ark1'!B38,"AAAAAC/n++w=")</f>
        <v>#VALUE!</v>
      </c>
      <c r="ID1" t="e">
        <f>AND('Ark1'!C38,"AAAAAC/n++0=")</f>
        <v>#VALUE!</v>
      </c>
      <c r="IE1" t="e">
        <f>AND('Ark1'!D38,"AAAAAC/n++4=")</f>
        <v>#VALUE!</v>
      </c>
      <c r="IF1" t="e">
        <f>AND('Ark1'!E38,"AAAAAC/n++8=")</f>
        <v>#VALUE!</v>
      </c>
      <c r="IG1">
        <f>IF('Ark1'!39:39,"AAAAAC/n+/A=",0)</f>
        <v>0</v>
      </c>
      <c r="IH1" t="e">
        <f>AND('Ark1'!A39,"AAAAAC/n+/E=")</f>
        <v>#VALUE!</v>
      </c>
      <c r="II1" t="e">
        <f>AND('Ark1'!B39,"AAAAAC/n+/I=")</f>
        <v>#VALUE!</v>
      </c>
      <c r="IJ1" t="e">
        <f>AND('Ark1'!C39,"AAAAAC/n+/M=")</f>
        <v>#VALUE!</v>
      </c>
      <c r="IK1" t="e">
        <f>AND('Ark1'!D39,"AAAAAC/n+/Q=")</f>
        <v>#VALUE!</v>
      </c>
      <c r="IL1" t="e">
        <f>AND('Ark1'!E39,"AAAAAC/n+/U=")</f>
        <v>#VALUE!</v>
      </c>
      <c r="IM1">
        <f>IF('Ark1'!40:40,"AAAAAC/n+/Y=",0)</f>
        <v>0</v>
      </c>
      <c r="IN1" t="e">
        <f>AND('Ark1'!A40,"AAAAAC/n+/c=")</f>
        <v>#VALUE!</v>
      </c>
      <c r="IO1" t="e">
        <f>AND('Ark1'!B40,"AAAAAC/n+/g=")</f>
        <v>#VALUE!</v>
      </c>
      <c r="IP1" t="e">
        <f>AND('Ark1'!C40,"AAAAAC/n+/k=")</f>
        <v>#VALUE!</v>
      </c>
      <c r="IQ1" t="e">
        <f>AND('Ark1'!D40,"AAAAAC/n+/o=")</f>
        <v>#VALUE!</v>
      </c>
      <c r="IR1" t="e">
        <f>AND('Ark1'!E40,"AAAAAC/n+/s=")</f>
        <v>#VALUE!</v>
      </c>
      <c r="IS1">
        <f>IF('Ark1'!41:41,"AAAAAC/n+/w=",0)</f>
        <v>0</v>
      </c>
      <c r="IT1" t="e">
        <f>AND('Ark1'!A41,"AAAAAC/n+/0=")</f>
        <v>#VALUE!</v>
      </c>
      <c r="IU1" t="e">
        <f>AND('Ark1'!B41,"AAAAAC/n+/4=")</f>
        <v>#VALUE!</v>
      </c>
      <c r="IV1" t="e">
        <f>AND('Ark1'!C41,"AAAAAC/n+/8=")</f>
        <v>#VALUE!</v>
      </c>
    </row>
    <row r="2" spans="1:256" x14ac:dyDescent="0.25">
      <c r="A2" t="e">
        <f>AND('Ark1'!D41,"AAAAAH/X7wA=")</f>
        <v>#VALUE!</v>
      </c>
      <c r="B2" t="e">
        <f>AND('Ark1'!E41,"AAAAAH/X7wE=")</f>
        <v>#VALUE!</v>
      </c>
      <c r="C2">
        <f>IF('Ark1'!42:42,"AAAAAH/X7wI=",0)</f>
        <v>0</v>
      </c>
      <c r="D2" t="e">
        <f>AND('Ark1'!A42,"AAAAAH/X7wM=")</f>
        <v>#VALUE!</v>
      </c>
      <c r="E2" t="e">
        <f>AND('Ark1'!B42,"AAAAAH/X7wQ=")</f>
        <v>#VALUE!</v>
      </c>
      <c r="F2" t="e">
        <f>AND('Ark1'!C42,"AAAAAH/X7wU=")</f>
        <v>#VALUE!</v>
      </c>
      <c r="G2" t="e">
        <f>AND('Ark1'!D42,"AAAAAH/X7wY=")</f>
        <v>#VALUE!</v>
      </c>
      <c r="H2" t="e">
        <f>AND('Ark1'!E42,"AAAAAH/X7wc=")</f>
        <v>#VALUE!</v>
      </c>
      <c r="I2">
        <f>IF('Ark1'!43:43,"AAAAAH/X7wg=",0)</f>
        <v>0</v>
      </c>
      <c r="J2" t="e">
        <f>AND('Ark1'!A43,"AAAAAH/X7wk=")</f>
        <v>#VALUE!</v>
      </c>
      <c r="K2" t="e">
        <f>AND('Ark1'!B43,"AAAAAH/X7wo=")</f>
        <v>#VALUE!</v>
      </c>
      <c r="L2" t="e">
        <f>AND('Ark1'!C43,"AAAAAH/X7ws=")</f>
        <v>#VALUE!</v>
      </c>
      <c r="M2" t="e">
        <f>AND('Ark1'!D43,"AAAAAH/X7ww=")</f>
        <v>#VALUE!</v>
      </c>
      <c r="N2" t="e">
        <f>AND('Ark1'!E43,"AAAAAH/X7w0=")</f>
        <v>#VALUE!</v>
      </c>
      <c r="O2">
        <f>IF('Ark1'!44:44,"AAAAAH/X7w4=",0)</f>
        <v>0</v>
      </c>
      <c r="P2" t="e">
        <f>AND('Ark1'!A44,"AAAAAH/X7w8=")</f>
        <v>#VALUE!</v>
      </c>
      <c r="Q2" t="e">
        <f>AND('Ark1'!B44,"AAAAAH/X7xA=")</f>
        <v>#VALUE!</v>
      </c>
      <c r="R2" t="e">
        <f>AND('Ark1'!C44,"AAAAAH/X7xE=")</f>
        <v>#VALUE!</v>
      </c>
      <c r="S2" t="e">
        <f>AND('Ark1'!D44,"AAAAAH/X7xI=")</f>
        <v>#VALUE!</v>
      </c>
      <c r="T2" t="e">
        <f>AND('Ark1'!E44,"AAAAAH/X7xM=")</f>
        <v>#VALUE!</v>
      </c>
      <c r="U2">
        <f>IF('Ark1'!45:45,"AAAAAH/X7xQ=",0)</f>
        <v>0</v>
      </c>
      <c r="V2" t="e">
        <f>AND('Ark1'!A45,"AAAAAH/X7xU=")</f>
        <v>#VALUE!</v>
      </c>
      <c r="W2" t="e">
        <f>AND('Ark1'!B45,"AAAAAH/X7xY=")</f>
        <v>#VALUE!</v>
      </c>
      <c r="X2" t="e">
        <f>AND('Ark1'!C45,"AAAAAH/X7xc=")</f>
        <v>#VALUE!</v>
      </c>
      <c r="Y2" t="e">
        <f>AND('Ark1'!D45,"AAAAAH/X7xg=")</f>
        <v>#VALUE!</v>
      </c>
      <c r="Z2" t="e">
        <f>AND('Ark1'!E45,"AAAAAH/X7xk=")</f>
        <v>#VALUE!</v>
      </c>
      <c r="AA2">
        <f>IF('Ark1'!46:46,"AAAAAH/X7xo=",0)</f>
        <v>0</v>
      </c>
      <c r="AB2" t="e">
        <f>AND('Ark1'!A46,"AAAAAH/X7xs=")</f>
        <v>#VALUE!</v>
      </c>
      <c r="AC2" t="e">
        <f>AND('Ark1'!B46,"AAAAAH/X7xw=")</f>
        <v>#VALUE!</v>
      </c>
      <c r="AD2" t="e">
        <f>AND('Ark1'!C46,"AAAAAH/X7x0=")</f>
        <v>#VALUE!</v>
      </c>
      <c r="AE2" t="e">
        <f>AND('Ark1'!D46,"AAAAAH/X7x4=")</f>
        <v>#VALUE!</v>
      </c>
      <c r="AF2" t="e">
        <f>AND('Ark1'!E46,"AAAAAH/X7x8=")</f>
        <v>#VALUE!</v>
      </c>
      <c r="AG2">
        <f>IF('Ark1'!47:47,"AAAAAH/X7yA=",0)</f>
        <v>0</v>
      </c>
      <c r="AH2" t="e">
        <f>AND('Ark1'!A47,"AAAAAH/X7yE=")</f>
        <v>#VALUE!</v>
      </c>
      <c r="AI2" t="e">
        <f>AND('Ark1'!B47,"AAAAAH/X7yI=")</f>
        <v>#VALUE!</v>
      </c>
      <c r="AJ2" t="e">
        <f>AND('Ark1'!C47,"AAAAAH/X7yM=")</f>
        <v>#VALUE!</v>
      </c>
      <c r="AK2" t="e">
        <f>AND('Ark1'!D47,"AAAAAH/X7yQ=")</f>
        <v>#VALUE!</v>
      </c>
      <c r="AL2" t="e">
        <f>AND('Ark1'!E47,"AAAAAH/X7yU=")</f>
        <v>#VALUE!</v>
      </c>
      <c r="AM2">
        <f>IF('Ark1'!48:48,"AAAAAH/X7yY=",0)</f>
        <v>0</v>
      </c>
      <c r="AN2" t="e">
        <f>AND('Ark1'!A48,"AAAAAH/X7yc=")</f>
        <v>#VALUE!</v>
      </c>
      <c r="AO2" t="e">
        <f>AND('Ark1'!B48,"AAAAAH/X7yg=")</f>
        <v>#VALUE!</v>
      </c>
      <c r="AP2" t="e">
        <f>AND('Ark1'!C48,"AAAAAH/X7yk=")</f>
        <v>#VALUE!</v>
      </c>
      <c r="AQ2" t="e">
        <f>AND('Ark1'!D48,"AAAAAH/X7yo=")</f>
        <v>#VALUE!</v>
      </c>
      <c r="AR2" t="e">
        <f>AND('Ark1'!E48,"AAAAAH/X7ys=")</f>
        <v>#VALUE!</v>
      </c>
      <c r="AS2">
        <f>IF('Ark1'!49:49,"AAAAAH/X7yw=",0)</f>
        <v>0</v>
      </c>
      <c r="AT2" t="e">
        <f>AND('Ark1'!A49,"AAAAAH/X7y0=")</f>
        <v>#VALUE!</v>
      </c>
      <c r="AU2" t="e">
        <f>AND('Ark1'!B49,"AAAAAH/X7y4=")</f>
        <v>#VALUE!</v>
      </c>
      <c r="AV2" t="e">
        <f>AND('Ark1'!C49,"AAAAAH/X7y8=")</f>
        <v>#VALUE!</v>
      </c>
      <c r="AW2" t="e">
        <f>AND('Ark1'!D49,"AAAAAH/X7zA=")</f>
        <v>#VALUE!</v>
      </c>
      <c r="AX2" t="e">
        <f>AND('Ark1'!E49,"AAAAAH/X7zE=")</f>
        <v>#VALUE!</v>
      </c>
      <c r="AY2">
        <f>IF('Ark1'!50:50,"AAAAAH/X7zI=",0)</f>
        <v>0</v>
      </c>
      <c r="AZ2" t="e">
        <f>AND('Ark1'!A50,"AAAAAH/X7zM=")</f>
        <v>#VALUE!</v>
      </c>
      <c r="BA2" t="e">
        <f>AND('Ark1'!B50,"AAAAAH/X7zQ=")</f>
        <v>#VALUE!</v>
      </c>
      <c r="BB2" t="e">
        <f>AND('Ark1'!C50,"AAAAAH/X7zU=")</f>
        <v>#VALUE!</v>
      </c>
      <c r="BC2" t="e">
        <f>AND('Ark1'!D50,"AAAAAH/X7zY=")</f>
        <v>#VALUE!</v>
      </c>
      <c r="BD2" t="e">
        <f>AND('Ark1'!E50,"AAAAAH/X7zc=")</f>
        <v>#VALUE!</v>
      </c>
      <c r="BE2">
        <f>IF('Ark1'!51:51,"AAAAAH/X7zg=",0)</f>
        <v>0</v>
      </c>
      <c r="BF2" t="e">
        <f>AND('Ark1'!A51,"AAAAAH/X7zk=")</f>
        <v>#VALUE!</v>
      </c>
      <c r="BG2" t="e">
        <f>AND('Ark1'!B51,"AAAAAH/X7zo=")</f>
        <v>#VALUE!</v>
      </c>
      <c r="BH2" t="e">
        <f>AND('Ark1'!C51,"AAAAAH/X7zs=")</f>
        <v>#VALUE!</v>
      </c>
      <c r="BI2" t="e">
        <f>AND('Ark1'!D51,"AAAAAH/X7zw=")</f>
        <v>#VALUE!</v>
      </c>
      <c r="BJ2" t="e">
        <f>AND('Ark1'!E51,"AAAAAH/X7z0=")</f>
        <v>#VALUE!</v>
      </c>
      <c r="BK2">
        <f>IF('Ark1'!52:52,"AAAAAH/X7z4=",0)</f>
        <v>0</v>
      </c>
      <c r="BL2" t="e">
        <f>AND('Ark1'!A52,"AAAAAH/X7z8=")</f>
        <v>#VALUE!</v>
      </c>
      <c r="BM2" t="e">
        <f>AND('Ark1'!B52,"AAAAAH/X70A=")</f>
        <v>#VALUE!</v>
      </c>
      <c r="BN2" t="e">
        <f>AND('Ark1'!C52,"AAAAAH/X70E=")</f>
        <v>#VALUE!</v>
      </c>
      <c r="BO2" t="e">
        <f>AND('Ark1'!D52,"AAAAAH/X70I=")</f>
        <v>#VALUE!</v>
      </c>
      <c r="BP2" t="e">
        <f>AND('Ark1'!E52,"AAAAAH/X70M=")</f>
        <v>#VALUE!</v>
      </c>
      <c r="BQ2">
        <f>IF('Ark1'!53:53,"AAAAAH/X70Q=",0)</f>
        <v>0</v>
      </c>
      <c r="BR2" t="e">
        <f>AND('Ark1'!A53,"AAAAAH/X70U=")</f>
        <v>#VALUE!</v>
      </c>
      <c r="BS2" t="e">
        <f>AND('Ark1'!B53,"AAAAAH/X70Y=")</f>
        <v>#VALUE!</v>
      </c>
      <c r="BT2" t="e">
        <f>AND('Ark1'!C53,"AAAAAH/X70c=")</f>
        <v>#VALUE!</v>
      </c>
      <c r="BU2" t="e">
        <f>AND('Ark1'!D53,"AAAAAH/X70g=")</f>
        <v>#VALUE!</v>
      </c>
      <c r="BV2" t="e">
        <f>AND('Ark1'!E53,"AAAAAH/X70k=")</f>
        <v>#VALUE!</v>
      </c>
      <c r="BW2">
        <f>IF('Ark1'!54:54,"AAAAAH/X70o=",0)</f>
        <v>0</v>
      </c>
      <c r="BX2" t="e">
        <f>AND('Ark1'!A54,"AAAAAH/X70s=")</f>
        <v>#VALUE!</v>
      </c>
      <c r="BY2" t="e">
        <f>AND('Ark1'!B54,"AAAAAH/X70w=")</f>
        <v>#VALUE!</v>
      </c>
      <c r="BZ2" t="e">
        <f>AND('Ark1'!C54,"AAAAAH/X700=")</f>
        <v>#VALUE!</v>
      </c>
      <c r="CA2" t="e">
        <f>AND('Ark1'!D54,"AAAAAH/X704=")</f>
        <v>#VALUE!</v>
      </c>
      <c r="CB2" t="e">
        <f>AND('Ark1'!E54,"AAAAAH/X708=")</f>
        <v>#VALUE!</v>
      </c>
      <c r="CC2">
        <f>IF('Ark1'!55:55,"AAAAAH/X71A=",0)</f>
        <v>0</v>
      </c>
      <c r="CD2" t="e">
        <f>AND('Ark1'!A55,"AAAAAH/X71E=")</f>
        <v>#VALUE!</v>
      </c>
      <c r="CE2" t="e">
        <f>AND('Ark1'!B55,"AAAAAH/X71I=")</f>
        <v>#VALUE!</v>
      </c>
      <c r="CF2" t="e">
        <f>AND('Ark1'!C55,"AAAAAH/X71M=")</f>
        <v>#VALUE!</v>
      </c>
      <c r="CG2" t="e">
        <f>AND('Ark1'!D55,"AAAAAH/X71Q=")</f>
        <v>#VALUE!</v>
      </c>
      <c r="CH2" t="e">
        <f>AND('Ark1'!E55,"AAAAAH/X71U=")</f>
        <v>#VALUE!</v>
      </c>
      <c r="CI2">
        <f>IF('Ark1'!56:56,"AAAAAH/X71Y=",0)</f>
        <v>0</v>
      </c>
      <c r="CJ2" t="e">
        <f>AND('Ark1'!A56,"AAAAAH/X71c=")</f>
        <v>#VALUE!</v>
      </c>
      <c r="CK2" t="e">
        <f>AND('Ark1'!B56,"AAAAAH/X71g=")</f>
        <v>#VALUE!</v>
      </c>
      <c r="CL2" t="e">
        <f>AND('Ark1'!C56,"AAAAAH/X71k=")</f>
        <v>#VALUE!</v>
      </c>
      <c r="CM2" t="e">
        <f>AND('Ark1'!D56,"AAAAAH/X71o=")</f>
        <v>#VALUE!</v>
      </c>
      <c r="CN2" t="e">
        <f>AND('Ark1'!E56,"AAAAAH/X71s=")</f>
        <v>#VALUE!</v>
      </c>
      <c r="CO2">
        <f>IF('Ark1'!57:57,"AAAAAH/X71w=",0)</f>
        <v>0</v>
      </c>
      <c r="CP2" t="e">
        <f>AND('Ark1'!A57,"AAAAAH/X710=")</f>
        <v>#VALUE!</v>
      </c>
      <c r="CQ2" t="e">
        <f>AND('Ark1'!B57,"AAAAAH/X714=")</f>
        <v>#VALUE!</v>
      </c>
      <c r="CR2" t="e">
        <f>AND('Ark1'!C57,"AAAAAH/X718=")</f>
        <v>#VALUE!</v>
      </c>
      <c r="CS2" t="e">
        <f>AND('Ark1'!D57,"AAAAAH/X72A=")</f>
        <v>#VALUE!</v>
      </c>
      <c r="CT2" t="e">
        <f>AND('Ark1'!E57,"AAAAAH/X72E=")</f>
        <v>#VALUE!</v>
      </c>
      <c r="CU2">
        <f>IF('Ark1'!58:58,"AAAAAH/X72I=",0)</f>
        <v>0</v>
      </c>
      <c r="CV2" t="e">
        <f>AND('Ark1'!A58,"AAAAAH/X72M=")</f>
        <v>#VALUE!</v>
      </c>
      <c r="CW2" t="e">
        <f>AND('Ark1'!B58,"AAAAAH/X72Q=")</f>
        <v>#VALUE!</v>
      </c>
      <c r="CX2" t="e">
        <f>AND('Ark1'!C58,"AAAAAH/X72U=")</f>
        <v>#VALUE!</v>
      </c>
      <c r="CY2" t="e">
        <f>AND('Ark1'!D58,"AAAAAH/X72Y=")</f>
        <v>#VALUE!</v>
      </c>
      <c r="CZ2" t="e">
        <f>AND('Ark1'!E58,"AAAAAH/X72c=")</f>
        <v>#VALUE!</v>
      </c>
      <c r="DA2">
        <f>IF('Ark1'!59:59,"AAAAAH/X72g=",0)</f>
        <v>0</v>
      </c>
      <c r="DB2" t="e">
        <f>AND('Ark1'!A59,"AAAAAH/X72k=")</f>
        <v>#VALUE!</v>
      </c>
      <c r="DC2" t="e">
        <f>AND('Ark1'!B59,"AAAAAH/X72o=")</f>
        <v>#VALUE!</v>
      </c>
      <c r="DD2" t="e">
        <f>AND('Ark1'!C59,"AAAAAH/X72s=")</f>
        <v>#VALUE!</v>
      </c>
      <c r="DE2" t="e">
        <f>AND('Ark1'!D59,"AAAAAH/X72w=")</f>
        <v>#VALUE!</v>
      </c>
      <c r="DF2" t="e">
        <f>AND('Ark1'!E59,"AAAAAH/X720=")</f>
        <v>#VALUE!</v>
      </c>
      <c r="DG2">
        <f>IF('Ark1'!60:60,"AAAAAH/X724=",0)</f>
        <v>0</v>
      </c>
      <c r="DH2" t="e">
        <f>AND('Ark1'!A60,"AAAAAH/X728=")</f>
        <v>#VALUE!</v>
      </c>
      <c r="DI2" t="e">
        <f>AND('Ark1'!B60,"AAAAAH/X73A=")</f>
        <v>#VALUE!</v>
      </c>
      <c r="DJ2" t="e">
        <f>AND('Ark1'!C60,"AAAAAH/X73E=")</f>
        <v>#VALUE!</v>
      </c>
      <c r="DK2" t="e">
        <f>AND('Ark1'!D60,"AAAAAH/X73I=")</f>
        <v>#VALUE!</v>
      </c>
      <c r="DL2" t="e">
        <f>AND('Ark1'!E60,"AAAAAH/X73M=")</f>
        <v>#VALUE!</v>
      </c>
      <c r="DM2">
        <f>IF('Ark1'!61:61,"AAAAAH/X73Q=",0)</f>
        <v>0</v>
      </c>
      <c r="DN2" t="e">
        <f>AND('Ark1'!A61,"AAAAAH/X73U=")</f>
        <v>#VALUE!</v>
      </c>
      <c r="DO2" t="e">
        <f>AND('Ark1'!B61,"AAAAAH/X73Y=")</f>
        <v>#VALUE!</v>
      </c>
      <c r="DP2" t="e">
        <f>AND('Ark1'!C61,"AAAAAH/X73c=")</f>
        <v>#VALUE!</v>
      </c>
      <c r="DQ2" t="e">
        <f>AND('Ark1'!D61,"AAAAAH/X73g=")</f>
        <v>#VALUE!</v>
      </c>
      <c r="DR2" t="e">
        <f>AND('Ark1'!E61,"AAAAAH/X73k=")</f>
        <v>#VALUE!</v>
      </c>
      <c r="DS2">
        <f>IF('Ark1'!62:62,"AAAAAH/X73o=",0)</f>
        <v>0</v>
      </c>
      <c r="DT2" t="e">
        <f>AND('Ark1'!A62,"AAAAAH/X73s=")</f>
        <v>#VALUE!</v>
      </c>
      <c r="DU2" t="e">
        <f>AND('Ark1'!B62,"AAAAAH/X73w=")</f>
        <v>#VALUE!</v>
      </c>
      <c r="DV2" t="e">
        <f>AND('Ark1'!C62,"AAAAAH/X730=")</f>
        <v>#VALUE!</v>
      </c>
      <c r="DW2" t="e">
        <f>AND('Ark1'!D62,"AAAAAH/X734=")</f>
        <v>#VALUE!</v>
      </c>
      <c r="DX2" t="e">
        <f>AND('Ark1'!E62,"AAAAAH/X738=")</f>
        <v>#VALUE!</v>
      </c>
      <c r="DY2">
        <f>IF('Ark1'!63:63,"AAAAAH/X74A=",0)</f>
        <v>0</v>
      </c>
      <c r="DZ2" t="e">
        <f>AND('Ark1'!A63,"AAAAAH/X74E=")</f>
        <v>#VALUE!</v>
      </c>
      <c r="EA2" t="e">
        <f>AND('Ark1'!B63,"AAAAAH/X74I=")</f>
        <v>#VALUE!</v>
      </c>
      <c r="EB2" t="e">
        <f>AND('Ark1'!C63,"AAAAAH/X74M=")</f>
        <v>#VALUE!</v>
      </c>
      <c r="EC2" t="e">
        <f>AND('Ark1'!D63,"AAAAAH/X74Q=")</f>
        <v>#VALUE!</v>
      </c>
      <c r="ED2" t="e">
        <f>AND('Ark1'!E63,"AAAAAH/X74U=")</f>
        <v>#VALUE!</v>
      </c>
      <c r="EE2">
        <f>IF('Ark1'!64:64,"AAAAAH/X74Y=",0)</f>
        <v>0</v>
      </c>
      <c r="EF2" t="e">
        <f>AND('Ark1'!A64,"AAAAAH/X74c=")</f>
        <v>#VALUE!</v>
      </c>
      <c r="EG2" t="e">
        <f>AND('Ark1'!B64,"AAAAAH/X74g=")</f>
        <v>#VALUE!</v>
      </c>
      <c r="EH2" t="e">
        <f>AND('Ark1'!C64,"AAAAAH/X74k=")</f>
        <v>#VALUE!</v>
      </c>
      <c r="EI2" t="e">
        <f>AND('Ark1'!D64,"AAAAAH/X74o=")</f>
        <v>#VALUE!</v>
      </c>
      <c r="EJ2" t="e">
        <f>AND('Ark1'!E64,"AAAAAH/X74s=")</f>
        <v>#VALUE!</v>
      </c>
      <c r="EK2">
        <f>IF('Ark1'!65:65,"AAAAAH/X74w=",0)</f>
        <v>0</v>
      </c>
      <c r="EL2" t="e">
        <f>AND('Ark1'!A65,"AAAAAH/X740=")</f>
        <v>#VALUE!</v>
      </c>
      <c r="EM2" t="e">
        <f>AND('Ark1'!B65,"AAAAAH/X744=")</f>
        <v>#VALUE!</v>
      </c>
      <c r="EN2" t="e">
        <f>AND('Ark1'!C65,"AAAAAH/X748=")</f>
        <v>#VALUE!</v>
      </c>
      <c r="EO2" t="e">
        <f>AND('Ark1'!D65,"AAAAAH/X75A=")</f>
        <v>#VALUE!</v>
      </c>
      <c r="EP2" t="e">
        <f>AND('Ark1'!E65,"AAAAAH/X75E=")</f>
        <v>#VALUE!</v>
      </c>
      <c r="EQ2">
        <f>IF('Ark1'!66:66,"AAAAAH/X75I=",0)</f>
        <v>0</v>
      </c>
      <c r="ER2" t="e">
        <f>AND('Ark1'!A66,"AAAAAH/X75M=")</f>
        <v>#VALUE!</v>
      </c>
      <c r="ES2" t="e">
        <f>AND('Ark1'!B66,"AAAAAH/X75Q=")</f>
        <v>#VALUE!</v>
      </c>
      <c r="ET2" t="e">
        <f>AND('Ark1'!C66,"AAAAAH/X75U=")</f>
        <v>#VALUE!</v>
      </c>
      <c r="EU2" t="e">
        <f>AND('Ark1'!D66,"AAAAAH/X75Y=")</f>
        <v>#VALUE!</v>
      </c>
      <c r="EV2" t="e">
        <f>AND('Ark1'!E66,"AAAAAH/X75c=")</f>
        <v>#VALUE!</v>
      </c>
      <c r="EW2">
        <f>IF('Ark1'!67:67,"AAAAAH/X75g=",0)</f>
        <v>0</v>
      </c>
      <c r="EX2" t="e">
        <f>AND('Ark1'!A67,"AAAAAH/X75k=")</f>
        <v>#VALUE!</v>
      </c>
      <c r="EY2" t="e">
        <f>AND('Ark1'!B67,"AAAAAH/X75o=")</f>
        <v>#VALUE!</v>
      </c>
      <c r="EZ2" t="e">
        <f>AND('Ark1'!C67,"AAAAAH/X75s=")</f>
        <v>#VALUE!</v>
      </c>
      <c r="FA2" t="e">
        <f>AND('Ark1'!D67,"AAAAAH/X75w=")</f>
        <v>#VALUE!</v>
      </c>
      <c r="FB2" t="e">
        <f>AND('Ark1'!E67,"AAAAAH/X750=")</f>
        <v>#VALUE!</v>
      </c>
      <c r="FC2">
        <f>IF('Ark1'!68:68,"AAAAAH/X754=",0)</f>
        <v>0</v>
      </c>
      <c r="FD2" t="e">
        <f>AND('Ark1'!A68,"AAAAAH/X758=")</f>
        <v>#VALUE!</v>
      </c>
      <c r="FE2" t="e">
        <f>AND('Ark1'!B68,"AAAAAH/X76A=")</f>
        <v>#VALUE!</v>
      </c>
      <c r="FF2" t="e">
        <f>AND('Ark1'!C68,"AAAAAH/X76E=")</f>
        <v>#VALUE!</v>
      </c>
      <c r="FG2" t="e">
        <f>AND('Ark1'!D68,"AAAAAH/X76I=")</f>
        <v>#VALUE!</v>
      </c>
      <c r="FH2" t="e">
        <f>AND('Ark1'!E68,"AAAAAH/X76M=")</f>
        <v>#VALUE!</v>
      </c>
      <c r="FI2">
        <f>IF('Ark1'!69:69,"AAAAAH/X76Q=",0)</f>
        <v>0</v>
      </c>
      <c r="FJ2" t="e">
        <f>AND('Ark1'!A69,"AAAAAH/X76U=")</f>
        <v>#VALUE!</v>
      </c>
      <c r="FK2" t="e">
        <f>AND('Ark1'!B69,"AAAAAH/X76Y=")</f>
        <v>#VALUE!</v>
      </c>
      <c r="FL2" t="e">
        <f>AND('Ark1'!C69,"AAAAAH/X76c=")</f>
        <v>#VALUE!</v>
      </c>
      <c r="FM2" t="e">
        <f>AND('Ark1'!D69,"AAAAAH/X76g=")</f>
        <v>#VALUE!</v>
      </c>
      <c r="FN2" t="e">
        <f>AND('Ark1'!E69,"AAAAAH/X76k=")</f>
        <v>#VALUE!</v>
      </c>
      <c r="FO2">
        <f>IF('Ark1'!70:70,"AAAAAH/X76o=",0)</f>
        <v>0</v>
      </c>
      <c r="FP2" t="e">
        <f>AND('Ark1'!A70,"AAAAAH/X76s=")</f>
        <v>#VALUE!</v>
      </c>
      <c r="FQ2" t="e">
        <f>AND('Ark1'!B70,"AAAAAH/X76w=")</f>
        <v>#VALUE!</v>
      </c>
      <c r="FR2" t="e">
        <f>AND('Ark1'!C70,"AAAAAH/X760=")</f>
        <v>#VALUE!</v>
      </c>
      <c r="FS2" t="e">
        <f>AND('Ark1'!D70,"AAAAAH/X764=")</f>
        <v>#VALUE!</v>
      </c>
      <c r="FT2" t="e">
        <f>AND('Ark1'!E70,"AAAAAH/X768=")</f>
        <v>#VALUE!</v>
      </c>
      <c r="FU2">
        <f>IF('Ark1'!71:71,"AAAAAH/X77A=",0)</f>
        <v>0</v>
      </c>
      <c r="FV2" t="e">
        <f>AND('Ark1'!A71,"AAAAAH/X77E=")</f>
        <v>#VALUE!</v>
      </c>
      <c r="FW2" t="e">
        <f>AND('Ark1'!B71,"AAAAAH/X77I=")</f>
        <v>#VALUE!</v>
      </c>
      <c r="FX2" t="e">
        <f>AND('Ark1'!C71,"AAAAAH/X77M=")</f>
        <v>#VALUE!</v>
      </c>
      <c r="FY2" t="e">
        <f>AND('Ark1'!D71,"AAAAAH/X77Q=")</f>
        <v>#VALUE!</v>
      </c>
      <c r="FZ2" t="e">
        <f>AND('Ark1'!E71,"AAAAAH/X77U=")</f>
        <v>#VALUE!</v>
      </c>
      <c r="GA2">
        <f>IF('Ark1'!72:72,"AAAAAH/X77Y=",0)</f>
        <v>0</v>
      </c>
      <c r="GB2" t="e">
        <f>AND('Ark1'!A72,"AAAAAH/X77c=")</f>
        <v>#VALUE!</v>
      </c>
      <c r="GC2" t="e">
        <f>AND('Ark1'!B72,"AAAAAH/X77g=")</f>
        <v>#VALUE!</v>
      </c>
      <c r="GD2" t="e">
        <f>AND('Ark1'!C72,"AAAAAH/X77k=")</f>
        <v>#VALUE!</v>
      </c>
      <c r="GE2" t="e">
        <f>AND('Ark1'!D72,"AAAAAH/X77o=")</f>
        <v>#VALUE!</v>
      </c>
      <c r="GF2" t="e">
        <f>AND('Ark1'!E72,"AAAAAH/X77s=")</f>
        <v>#VALUE!</v>
      </c>
      <c r="GG2">
        <f>IF('Ark1'!73:73,"AAAAAH/X77w=",0)</f>
        <v>0</v>
      </c>
      <c r="GH2" t="e">
        <f>AND('Ark1'!A73,"AAAAAH/X770=")</f>
        <v>#VALUE!</v>
      </c>
      <c r="GI2" t="e">
        <f>AND('Ark1'!B73,"AAAAAH/X774=")</f>
        <v>#VALUE!</v>
      </c>
      <c r="GJ2" t="e">
        <f>AND('Ark1'!C73,"AAAAAH/X778=")</f>
        <v>#VALUE!</v>
      </c>
      <c r="GK2" t="e">
        <f>AND('Ark1'!D73,"AAAAAH/X78A=")</f>
        <v>#VALUE!</v>
      </c>
      <c r="GL2" t="e">
        <f>AND('Ark1'!E73,"AAAAAH/X78E=")</f>
        <v>#VALUE!</v>
      </c>
      <c r="GM2">
        <f>IF('Ark1'!74:74,"AAAAAH/X78I=",0)</f>
        <v>0</v>
      </c>
      <c r="GN2" t="e">
        <f>AND('Ark1'!A74,"AAAAAH/X78M=")</f>
        <v>#VALUE!</v>
      </c>
      <c r="GO2" t="e">
        <f>AND('Ark1'!B74,"AAAAAH/X78Q=")</f>
        <v>#VALUE!</v>
      </c>
      <c r="GP2" t="e">
        <f>AND('Ark1'!C74,"AAAAAH/X78U=")</f>
        <v>#VALUE!</v>
      </c>
      <c r="GQ2" t="e">
        <f>AND('Ark1'!D74,"AAAAAH/X78Y=")</f>
        <v>#VALUE!</v>
      </c>
      <c r="GR2" t="e">
        <f>AND('Ark1'!E74,"AAAAAH/X78c=")</f>
        <v>#VALUE!</v>
      </c>
      <c r="GS2">
        <f>IF('Ark1'!75:75,"AAAAAH/X78g=",0)</f>
        <v>0</v>
      </c>
      <c r="GT2" t="e">
        <f>AND('Ark1'!A75,"AAAAAH/X78k=")</f>
        <v>#VALUE!</v>
      </c>
      <c r="GU2" t="e">
        <f>AND('Ark1'!B75,"AAAAAH/X78o=")</f>
        <v>#VALUE!</v>
      </c>
      <c r="GV2" t="e">
        <f>AND('Ark1'!C75,"AAAAAH/X78s=")</f>
        <v>#VALUE!</v>
      </c>
      <c r="GW2" t="e">
        <f>AND('Ark1'!D75,"AAAAAH/X78w=")</f>
        <v>#VALUE!</v>
      </c>
      <c r="GX2" t="e">
        <f>AND('Ark1'!E75,"AAAAAH/X780=")</f>
        <v>#VALUE!</v>
      </c>
      <c r="GY2">
        <f>IF('Ark1'!76:76,"AAAAAH/X784=",0)</f>
        <v>0</v>
      </c>
      <c r="GZ2" t="e">
        <f>AND('Ark1'!A76,"AAAAAH/X788=")</f>
        <v>#VALUE!</v>
      </c>
      <c r="HA2" t="e">
        <f>AND('Ark1'!B76,"AAAAAH/X79A=")</f>
        <v>#VALUE!</v>
      </c>
      <c r="HB2" t="e">
        <f>AND('Ark1'!C76,"AAAAAH/X79E=")</f>
        <v>#VALUE!</v>
      </c>
      <c r="HC2" t="e">
        <f>AND('Ark1'!D76,"AAAAAH/X79I=")</f>
        <v>#VALUE!</v>
      </c>
      <c r="HD2" t="e">
        <f>AND('Ark1'!E76,"AAAAAH/X79M=")</f>
        <v>#VALUE!</v>
      </c>
      <c r="HE2">
        <f>IF('Ark1'!77:77,"AAAAAH/X79Q=",0)</f>
        <v>0</v>
      </c>
      <c r="HF2" t="e">
        <f>AND('Ark1'!A77,"AAAAAH/X79U=")</f>
        <v>#VALUE!</v>
      </c>
      <c r="HG2" t="e">
        <f>AND('Ark1'!B77,"AAAAAH/X79Y=")</f>
        <v>#VALUE!</v>
      </c>
      <c r="HH2" t="e">
        <f>AND('Ark1'!C77,"AAAAAH/X79c=")</f>
        <v>#VALUE!</v>
      </c>
      <c r="HI2" t="e">
        <f>AND('Ark1'!D77,"AAAAAH/X79g=")</f>
        <v>#VALUE!</v>
      </c>
      <c r="HJ2" t="e">
        <f>AND('Ark1'!E77,"AAAAAH/X79k=")</f>
        <v>#VALUE!</v>
      </c>
      <c r="HK2">
        <f>IF('Ark1'!78:78,"AAAAAH/X79o=",0)</f>
        <v>0</v>
      </c>
      <c r="HL2" t="e">
        <f>AND('Ark1'!A78,"AAAAAH/X79s=")</f>
        <v>#VALUE!</v>
      </c>
      <c r="HM2" t="e">
        <f>AND('Ark1'!B78,"AAAAAH/X79w=")</f>
        <v>#VALUE!</v>
      </c>
      <c r="HN2" t="e">
        <f>AND('Ark1'!C78,"AAAAAH/X790=")</f>
        <v>#VALUE!</v>
      </c>
      <c r="HO2" t="e">
        <f>AND('Ark1'!D78,"AAAAAH/X794=")</f>
        <v>#VALUE!</v>
      </c>
      <c r="HP2" t="e">
        <f>AND('Ark1'!E78,"AAAAAH/X798=")</f>
        <v>#VALUE!</v>
      </c>
      <c r="HQ2">
        <f>IF('Ark1'!79:79,"AAAAAH/X7+A=",0)</f>
        <v>0</v>
      </c>
      <c r="HR2" t="e">
        <f>AND('Ark1'!A79,"AAAAAH/X7+E=")</f>
        <v>#VALUE!</v>
      </c>
      <c r="HS2" t="e">
        <f>AND('Ark1'!B79,"AAAAAH/X7+I=")</f>
        <v>#VALUE!</v>
      </c>
      <c r="HT2" t="e">
        <f>AND('Ark1'!C79,"AAAAAH/X7+M=")</f>
        <v>#VALUE!</v>
      </c>
      <c r="HU2" t="e">
        <f>AND('Ark1'!D79,"AAAAAH/X7+Q=")</f>
        <v>#VALUE!</v>
      </c>
      <c r="HV2" t="e">
        <f>AND('Ark1'!E79,"AAAAAH/X7+U=")</f>
        <v>#VALUE!</v>
      </c>
      <c r="HW2">
        <f>IF('Ark1'!80:80,"AAAAAH/X7+Y=",0)</f>
        <v>0</v>
      </c>
      <c r="HX2" t="e">
        <f>AND('Ark1'!A80,"AAAAAH/X7+c=")</f>
        <v>#VALUE!</v>
      </c>
      <c r="HY2" t="e">
        <f>AND('Ark1'!B80,"AAAAAH/X7+g=")</f>
        <v>#VALUE!</v>
      </c>
      <c r="HZ2" t="e">
        <f>AND('Ark1'!C80,"AAAAAH/X7+k=")</f>
        <v>#VALUE!</v>
      </c>
      <c r="IA2" t="e">
        <f>AND('Ark1'!D80,"AAAAAH/X7+o=")</f>
        <v>#VALUE!</v>
      </c>
      <c r="IB2" t="e">
        <f>AND('Ark1'!E80,"AAAAAH/X7+s=")</f>
        <v>#VALUE!</v>
      </c>
      <c r="IC2">
        <f>IF('Ark1'!81:81,"AAAAAH/X7+w=",0)</f>
        <v>0</v>
      </c>
      <c r="ID2" t="e">
        <f>AND('Ark1'!A81,"AAAAAH/X7+0=")</f>
        <v>#VALUE!</v>
      </c>
      <c r="IE2" t="e">
        <f>AND('Ark1'!B81,"AAAAAH/X7+4=")</f>
        <v>#VALUE!</v>
      </c>
      <c r="IF2" t="e">
        <f>AND('Ark1'!C81,"AAAAAH/X7+8=")</f>
        <v>#VALUE!</v>
      </c>
      <c r="IG2" t="e">
        <f>AND('Ark1'!D81,"AAAAAH/X7/A=")</f>
        <v>#VALUE!</v>
      </c>
      <c r="IH2" t="e">
        <f>AND('Ark1'!E81,"AAAAAH/X7/E=")</f>
        <v>#VALUE!</v>
      </c>
      <c r="II2">
        <f>IF('Ark1'!82:82,"AAAAAH/X7/I=",0)</f>
        <v>0</v>
      </c>
      <c r="IJ2" t="e">
        <f>AND('Ark1'!A82,"AAAAAH/X7/M=")</f>
        <v>#VALUE!</v>
      </c>
      <c r="IK2" t="e">
        <f>AND('Ark1'!B82,"AAAAAH/X7/Q=")</f>
        <v>#VALUE!</v>
      </c>
      <c r="IL2" t="e">
        <f>AND('Ark1'!C82,"AAAAAH/X7/U=")</f>
        <v>#VALUE!</v>
      </c>
      <c r="IM2" t="e">
        <f>AND('Ark1'!D82,"AAAAAH/X7/Y=")</f>
        <v>#VALUE!</v>
      </c>
      <c r="IN2" t="e">
        <f>AND('Ark1'!E82,"AAAAAH/X7/c=")</f>
        <v>#VALUE!</v>
      </c>
      <c r="IO2">
        <f>IF('Ark1'!83:83,"AAAAAH/X7/g=",0)</f>
        <v>0</v>
      </c>
      <c r="IP2" t="e">
        <f>AND('Ark1'!A83,"AAAAAH/X7/k=")</f>
        <v>#VALUE!</v>
      </c>
      <c r="IQ2" t="e">
        <f>AND('Ark1'!B83,"AAAAAH/X7/o=")</f>
        <v>#VALUE!</v>
      </c>
      <c r="IR2" t="e">
        <f>AND('Ark1'!C83,"AAAAAH/X7/s=")</f>
        <v>#VALUE!</v>
      </c>
      <c r="IS2" t="e">
        <f>AND('Ark1'!D83,"AAAAAH/X7/w=")</f>
        <v>#VALUE!</v>
      </c>
      <c r="IT2" t="e">
        <f>AND('Ark1'!E83,"AAAAAH/X7/0=")</f>
        <v>#VALUE!</v>
      </c>
      <c r="IU2">
        <f>IF('Ark1'!84:84,"AAAAAH/X7/4=",0)</f>
        <v>0</v>
      </c>
      <c r="IV2" t="e">
        <f>AND('Ark1'!A84,"AAAAAH/X7/8=")</f>
        <v>#VALUE!</v>
      </c>
    </row>
    <row r="3" spans="1:256" x14ac:dyDescent="0.25">
      <c r="A3" t="e">
        <f>AND('Ark1'!B84,"AAAAAH7/7wA=")</f>
        <v>#VALUE!</v>
      </c>
      <c r="B3" t="e">
        <f>AND('Ark1'!C84,"AAAAAH7/7wE=")</f>
        <v>#VALUE!</v>
      </c>
      <c r="C3" t="e">
        <f>AND('Ark1'!D84,"AAAAAH7/7wI=")</f>
        <v>#VALUE!</v>
      </c>
      <c r="D3" t="e">
        <f>AND('Ark1'!E84,"AAAAAH7/7wM=")</f>
        <v>#VALUE!</v>
      </c>
      <c r="E3">
        <f>IF('Ark1'!85:85,"AAAAAH7/7wQ=",0)</f>
        <v>0</v>
      </c>
      <c r="F3" t="e">
        <f>AND('Ark1'!A85,"AAAAAH7/7wU=")</f>
        <v>#VALUE!</v>
      </c>
      <c r="G3" t="e">
        <f>AND('Ark1'!B85,"AAAAAH7/7wY=")</f>
        <v>#VALUE!</v>
      </c>
      <c r="H3" t="e">
        <f>AND('Ark1'!C85,"AAAAAH7/7wc=")</f>
        <v>#VALUE!</v>
      </c>
      <c r="I3" t="e">
        <f>AND('Ark1'!D85,"AAAAAH7/7wg=")</f>
        <v>#VALUE!</v>
      </c>
      <c r="J3" t="e">
        <f>AND('Ark1'!E85,"AAAAAH7/7wk=")</f>
        <v>#VALUE!</v>
      </c>
      <c r="K3">
        <f>IF('Ark1'!86:86,"AAAAAH7/7wo=",0)</f>
        <v>0</v>
      </c>
      <c r="L3" t="e">
        <f>AND('Ark1'!A86,"AAAAAH7/7ws=")</f>
        <v>#VALUE!</v>
      </c>
      <c r="M3" t="e">
        <f>AND('Ark1'!B86,"AAAAAH7/7ww=")</f>
        <v>#VALUE!</v>
      </c>
      <c r="N3" t="e">
        <f>AND('Ark1'!C86,"AAAAAH7/7w0=")</f>
        <v>#VALUE!</v>
      </c>
      <c r="O3" t="e">
        <f>AND('Ark1'!D86,"AAAAAH7/7w4=")</f>
        <v>#VALUE!</v>
      </c>
      <c r="P3" t="e">
        <f>AND('Ark1'!E86,"AAAAAH7/7w8=")</f>
        <v>#VALUE!</v>
      </c>
      <c r="Q3">
        <f>IF('Ark1'!87:87,"AAAAAH7/7xA=",0)</f>
        <v>0</v>
      </c>
      <c r="R3" t="e">
        <f>AND('Ark1'!A87,"AAAAAH7/7xE=")</f>
        <v>#VALUE!</v>
      </c>
      <c r="S3" t="e">
        <f>AND('Ark1'!B87,"AAAAAH7/7xI=")</f>
        <v>#VALUE!</v>
      </c>
      <c r="T3" t="e">
        <f>AND('Ark1'!C87,"AAAAAH7/7xM=")</f>
        <v>#VALUE!</v>
      </c>
      <c r="U3" t="e">
        <f>AND('Ark1'!D87,"AAAAAH7/7xQ=")</f>
        <v>#VALUE!</v>
      </c>
      <c r="V3" t="e">
        <f>AND('Ark1'!E87,"AAAAAH7/7xU=")</f>
        <v>#VALUE!</v>
      </c>
      <c r="W3">
        <f>IF('Ark1'!88:88,"AAAAAH7/7xY=",0)</f>
        <v>0</v>
      </c>
      <c r="X3" t="e">
        <f>AND('Ark1'!A88,"AAAAAH7/7xc=")</f>
        <v>#VALUE!</v>
      </c>
      <c r="Y3" t="e">
        <f>AND('Ark1'!B88,"AAAAAH7/7xg=")</f>
        <v>#VALUE!</v>
      </c>
      <c r="Z3" t="e">
        <f>AND('Ark1'!C88,"AAAAAH7/7xk=")</f>
        <v>#VALUE!</v>
      </c>
      <c r="AA3" t="e">
        <f>AND('Ark1'!D88,"AAAAAH7/7xo=")</f>
        <v>#VALUE!</v>
      </c>
      <c r="AB3" t="e">
        <f>AND('Ark1'!E88,"AAAAAH7/7xs=")</f>
        <v>#VALUE!</v>
      </c>
      <c r="AC3">
        <f>IF('Ark1'!89:89,"AAAAAH7/7xw=",0)</f>
        <v>0</v>
      </c>
      <c r="AD3" t="e">
        <f>AND('Ark1'!A89,"AAAAAH7/7x0=")</f>
        <v>#VALUE!</v>
      </c>
      <c r="AE3" t="e">
        <f>AND('Ark1'!B89,"AAAAAH7/7x4=")</f>
        <v>#VALUE!</v>
      </c>
      <c r="AF3" t="e">
        <f>AND('Ark1'!C89,"AAAAAH7/7x8=")</f>
        <v>#VALUE!</v>
      </c>
      <c r="AG3" t="e">
        <f>AND('Ark1'!D89,"AAAAAH7/7yA=")</f>
        <v>#VALUE!</v>
      </c>
      <c r="AH3" t="e">
        <f>AND('Ark1'!E89,"AAAAAH7/7yE=")</f>
        <v>#VALUE!</v>
      </c>
      <c r="AI3">
        <f>IF('Ark1'!90:90,"AAAAAH7/7yI=",0)</f>
        <v>0</v>
      </c>
      <c r="AJ3" t="e">
        <f>AND('Ark1'!A90,"AAAAAH7/7yM=")</f>
        <v>#VALUE!</v>
      </c>
      <c r="AK3" t="e">
        <f>AND('Ark1'!B90,"AAAAAH7/7yQ=")</f>
        <v>#VALUE!</v>
      </c>
      <c r="AL3" t="e">
        <f>AND('Ark1'!C90,"AAAAAH7/7yU=")</f>
        <v>#VALUE!</v>
      </c>
      <c r="AM3" t="e">
        <f>AND('Ark1'!D90,"AAAAAH7/7yY=")</f>
        <v>#VALUE!</v>
      </c>
      <c r="AN3" t="e">
        <f>AND('Ark1'!E90,"AAAAAH7/7yc=")</f>
        <v>#VALUE!</v>
      </c>
      <c r="AO3">
        <f>IF('Ark1'!91:91,"AAAAAH7/7yg=",0)</f>
        <v>0</v>
      </c>
      <c r="AP3" t="e">
        <f>AND('Ark1'!A91,"AAAAAH7/7yk=")</f>
        <v>#VALUE!</v>
      </c>
      <c r="AQ3" t="e">
        <f>AND('Ark1'!B91,"AAAAAH7/7yo=")</f>
        <v>#VALUE!</v>
      </c>
      <c r="AR3" t="e">
        <f>AND('Ark1'!C91,"AAAAAH7/7ys=")</f>
        <v>#VALUE!</v>
      </c>
      <c r="AS3" t="e">
        <f>AND('Ark1'!D91,"AAAAAH7/7yw=")</f>
        <v>#VALUE!</v>
      </c>
      <c r="AT3" t="e">
        <f>AND('Ark1'!E91,"AAAAAH7/7y0=")</f>
        <v>#VALUE!</v>
      </c>
      <c r="AU3">
        <f>IF('Ark1'!92:92,"AAAAAH7/7y4=",0)</f>
        <v>0</v>
      </c>
      <c r="AV3" t="e">
        <f>AND('Ark1'!A92,"AAAAAH7/7y8=")</f>
        <v>#VALUE!</v>
      </c>
      <c r="AW3" t="e">
        <f>AND('Ark1'!B92,"AAAAAH7/7zA=")</f>
        <v>#VALUE!</v>
      </c>
      <c r="AX3" t="e">
        <f>AND('Ark1'!C92,"AAAAAH7/7zE=")</f>
        <v>#VALUE!</v>
      </c>
      <c r="AY3" t="e">
        <f>AND('Ark1'!D92,"AAAAAH7/7zI=")</f>
        <v>#VALUE!</v>
      </c>
      <c r="AZ3" t="e">
        <f>AND('Ark1'!E92,"AAAAAH7/7zM=")</f>
        <v>#VALUE!</v>
      </c>
      <c r="BA3">
        <f>IF('Ark1'!93:93,"AAAAAH7/7zQ=",0)</f>
        <v>0</v>
      </c>
      <c r="BB3" t="e">
        <f>AND('Ark1'!A93,"AAAAAH7/7zU=")</f>
        <v>#VALUE!</v>
      </c>
      <c r="BC3" t="e">
        <f>AND('Ark1'!B93,"AAAAAH7/7zY=")</f>
        <v>#VALUE!</v>
      </c>
      <c r="BD3" t="e">
        <f>AND('Ark1'!C93,"AAAAAH7/7zc=")</f>
        <v>#VALUE!</v>
      </c>
      <c r="BE3" t="e">
        <f>AND('Ark1'!D93,"AAAAAH7/7zg=")</f>
        <v>#VALUE!</v>
      </c>
      <c r="BF3" t="e">
        <f>AND('Ark1'!E93,"AAAAAH7/7zk=")</f>
        <v>#VALUE!</v>
      </c>
      <c r="BG3">
        <f>IF('Ark1'!94:94,"AAAAAH7/7zo=",0)</f>
        <v>0</v>
      </c>
      <c r="BH3" t="e">
        <f>AND('Ark1'!A94,"AAAAAH7/7zs=")</f>
        <v>#VALUE!</v>
      </c>
      <c r="BI3" t="e">
        <f>AND('Ark1'!B94,"AAAAAH7/7zw=")</f>
        <v>#VALUE!</v>
      </c>
      <c r="BJ3" t="e">
        <f>AND('Ark1'!C94,"AAAAAH7/7z0=")</f>
        <v>#VALUE!</v>
      </c>
      <c r="BK3" t="e">
        <f>AND('Ark1'!D94,"AAAAAH7/7z4=")</f>
        <v>#VALUE!</v>
      </c>
      <c r="BL3" t="e">
        <f>AND('Ark1'!E94,"AAAAAH7/7z8=")</f>
        <v>#VALUE!</v>
      </c>
      <c r="BM3">
        <f>IF('Ark1'!95:95,"AAAAAH7/70A=",0)</f>
        <v>0</v>
      </c>
      <c r="BN3" t="e">
        <f>AND('Ark1'!A95,"AAAAAH7/70E=")</f>
        <v>#VALUE!</v>
      </c>
      <c r="BO3" t="e">
        <f>AND('Ark1'!B95,"AAAAAH7/70I=")</f>
        <v>#VALUE!</v>
      </c>
      <c r="BP3" t="e">
        <f>AND('Ark1'!C95,"AAAAAH7/70M=")</f>
        <v>#VALUE!</v>
      </c>
      <c r="BQ3" t="e">
        <f>AND('Ark1'!D95,"AAAAAH7/70Q=")</f>
        <v>#VALUE!</v>
      </c>
      <c r="BR3" t="e">
        <f>AND('Ark1'!E95,"AAAAAH7/70U=")</f>
        <v>#VALUE!</v>
      </c>
      <c r="BS3">
        <f>IF('Ark1'!96:96,"AAAAAH7/70Y=",0)</f>
        <v>0</v>
      </c>
      <c r="BT3" t="e">
        <f>AND('Ark1'!A96,"AAAAAH7/70c=")</f>
        <v>#VALUE!</v>
      </c>
      <c r="BU3" t="e">
        <f>AND('Ark1'!B96,"AAAAAH7/70g=")</f>
        <v>#VALUE!</v>
      </c>
      <c r="BV3" t="e">
        <f>AND('Ark1'!C96,"AAAAAH7/70k=")</f>
        <v>#VALUE!</v>
      </c>
      <c r="BW3" t="e">
        <f>AND('Ark1'!D96,"AAAAAH7/70o=")</f>
        <v>#VALUE!</v>
      </c>
      <c r="BX3" t="e">
        <f>AND('Ark1'!E96,"AAAAAH7/70s=")</f>
        <v>#VALUE!</v>
      </c>
      <c r="BY3">
        <f>IF('Ark1'!97:97,"AAAAAH7/70w=",0)</f>
        <v>0</v>
      </c>
      <c r="BZ3" t="e">
        <f>AND('Ark1'!A97,"AAAAAH7/700=")</f>
        <v>#VALUE!</v>
      </c>
      <c r="CA3" t="e">
        <f>AND('Ark1'!B97,"AAAAAH7/704=")</f>
        <v>#VALUE!</v>
      </c>
      <c r="CB3" t="e">
        <f>AND('Ark1'!C97,"AAAAAH7/708=")</f>
        <v>#VALUE!</v>
      </c>
      <c r="CC3" t="e">
        <f>AND('Ark1'!D97,"AAAAAH7/71A=")</f>
        <v>#VALUE!</v>
      </c>
      <c r="CD3" t="e">
        <f>AND('Ark1'!E97,"AAAAAH7/71E=")</f>
        <v>#VALUE!</v>
      </c>
      <c r="CE3">
        <f>IF('Ark1'!98:98,"AAAAAH7/71I=",0)</f>
        <v>0</v>
      </c>
      <c r="CF3" t="e">
        <f>AND('Ark1'!A98,"AAAAAH7/71M=")</f>
        <v>#VALUE!</v>
      </c>
      <c r="CG3" t="e">
        <f>AND('Ark1'!B98,"AAAAAH7/71Q=")</f>
        <v>#VALUE!</v>
      </c>
      <c r="CH3" t="e">
        <f>AND('Ark1'!C98,"AAAAAH7/71U=")</f>
        <v>#VALUE!</v>
      </c>
      <c r="CI3" t="e">
        <f>AND('Ark1'!D98,"AAAAAH7/71Y=")</f>
        <v>#VALUE!</v>
      </c>
      <c r="CJ3" t="e">
        <f>AND('Ark1'!E98,"AAAAAH7/71c=")</f>
        <v>#VALUE!</v>
      </c>
      <c r="CK3">
        <f>IF('Ark1'!99:99,"AAAAAH7/71g=",0)</f>
        <v>0</v>
      </c>
      <c r="CL3" t="e">
        <f>AND('Ark1'!A99,"AAAAAH7/71k=")</f>
        <v>#VALUE!</v>
      </c>
      <c r="CM3" t="e">
        <f>AND('Ark1'!B99,"AAAAAH7/71o=")</f>
        <v>#VALUE!</v>
      </c>
      <c r="CN3" t="e">
        <f>AND('Ark1'!C99,"AAAAAH7/71s=")</f>
        <v>#VALUE!</v>
      </c>
      <c r="CO3" t="e">
        <f>AND('Ark1'!D99,"AAAAAH7/71w=")</f>
        <v>#VALUE!</v>
      </c>
      <c r="CP3" t="e">
        <f>AND('Ark1'!E99,"AAAAAH7/710=")</f>
        <v>#VALUE!</v>
      </c>
      <c r="CQ3">
        <f>IF('Ark1'!100:100,"AAAAAH7/714=",0)</f>
        <v>0</v>
      </c>
      <c r="CR3" t="e">
        <f>AND('Ark1'!A100,"AAAAAH7/718=")</f>
        <v>#VALUE!</v>
      </c>
      <c r="CS3" t="e">
        <f>AND('Ark1'!B100,"AAAAAH7/72A=")</f>
        <v>#VALUE!</v>
      </c>
      <c r="CT3" t="e">
        <f>AND('Ark1'!C100,"AAAAAH7/72E=")</f>
        <v>#VALUE!</v>
      </c>
      <c r="CU3" t="e">
        <f>AND('Ark1'!D100,"AAAAAH7/72I=")</f>
        <v>#VALUE!</v>
      </c>
      <c r="CV3" t="e">
        <f>AND('Ark1'!E100,"AAAAAH7/72M=")</f>
        <v>#VALUE!</v>
      </c>
      <c r="CW3">
        <f>IF('Ark1'!101:101,"AAAAAH7/72Q=",0)</f>
        <v>0</v>
      </c>
      <c r="CX3" t="e">
        <f>AND('Ark1'!A101,"AAAAAH7/72U=")</f>
        <v>#VALUE!</v>
      </c>
      <c r="CY3" t="e">
        <f>AND('Ark1'!B101,"AAAAAH7/72Y=")</f>
        <v>#VALUE!</v>
      </c>
      <c r="CZ3" t="e">
        <f>AND('Ark1'!C101,"AAAAAH7/72c=")</f>
        <v>#VALUE!</v>
      </c>
      <c r="DA3" t="e">
        <f>AND('Ark1'!D101,"AAAAAH7/72g=")</f>
        <v>#VALUE!</v>
      </c>
      <c r="DB3" t="e">
        <f>AND('Ark1'!E101,"AAAAAH7/72k=")</f>
        <v>#VALUE!</v>
      </c>
      <c r="DC3">
        <f>IF('Ark1'!102:102,"AAAAAH7/72o=",0)</f>
        <v>0</v>
      </c>
      <c r="DD3" t="e">
        <f>AND('Ark1'!A102,"AAAAAH7/72s=")</f>
        <v>#VALUE!</v>
      </c>
      <c r="DE3" t="e">
        <f>AND('Ark1'!B102,"AAAAAH7/72w=")</f>
        <v>#VALUE!</v>
      </c>
      <c r="DF3" t="e">
        <f>AND('Ark1'!C102,"AAAAAH7/720=")</f>
        <v>#VALUE!</v>
      </c>
      <c r="DG3" t="e">
        <f>AND('Ark1'!D102,"AAAAAH7/724=")</f>
        <v>#VALUE!</v>
      </c>
      <c r="DH3" t="e">
        <f>AND('Ark1'!E102,"AAAAAH7/728=")</f>
        <v>#VALUE!</v>
      </c>
      <c r="DI3">
        <f>IF('Ark1'!103:103,"AAAAAH7/73A=",0)</f>
        <v>0</v>
      </c>
      <c r="DJ3" t="e">
        <f>AND('Ark1'!A103,"AAAAAH7/73E=")</f>
        <v>#VALUE!</v>
      </c>
      <c r="DK3" t="e">
        <f>AND('Ark1'!B103,"AAAAAH7/73I=")</f>
        <v>#VALUE!</v>
      </c>
      <c r="DL3" t="e">
        <f>AND('Ark1'!C103,"AAAAAH7/73M=")</f>
        <v>#VALUE!</v>
      </c>
      <c r="DM3" t="e">
        <f>AND('Ark1'!D103,"AAAAAH7/73Q=")</f>
        <v>#VALUE!</v>
      </c>
      <c r="DN3" t="e">
        <f>AND('Ark1'!E103,"AAAAAH7/73U=")</f>
        <v>#VALUE!</v>
      </c>
      <c r="DO3">
        <f>IF('Ark1'!104:104,"AAAAAH7/73Y=",0)</f>
        <v>0</v>
      </c>
      <c r="DP3" t="e">
        <f>AND('Ark1'!A104,"AAAAAH7/73c=")</f>
        <v>#VALUE!</v>
      </c>
      <c r="DQ3" t="e">
        <f>AND('Ark1'!B104,"AAAAAH7/73g=")</f>
        <v>#VALUE!</v>
      </c>
      <c r="DR3" t="e">
        <f>AND('Ark1'!C104,"AAAAAH7/73k=")</f>
        <v>#VALUE!</v>
      </c>
      <c r="DS3" t="e">
        <f>AND('Ark1'!D104,"AAAAAH7/73o=")</f>
        <v>#VALUE!</v>
      </c>
      <c r="DT3" t="e">
        <f>AND('Ark1'!E104,"AAAAAH7/73s=")</f>
        <v>#VALUE!</v>
      </c>
      <c r="DU3">
        <f>IF('Ark1'!105:105,"AAAAAH7/73w=",0)</f>
        <v>0</v>
      </c>
      <c r="DV3" t="e">
        <f>AND('Ark1'!A105,"AAAAAH7/730=")</f>
        <v>#VALUE!</v>
      </c>
      <c r="DW3" t="e">
        <f>AND('Ark1'!B105,"AAAAAH7/734=")</f>
        <v>#VALUE!</v>
      </c>
      <c r="DX3" t="e">
        <f>AND('Ark1'!C105,"AAAAAH7/738=")</f>
        <v>#VALUE!</v>
      </c>
      <c r="DY3" t="e">
        <f>AND('Ark1'!D105,"AAAAAH7/74A=")</f>
        <v>#VALUE!</v>
      </c>
      <c r="DZ3" t="e">
        <f>AND('Ark1'!E105,"AAAAAH7/74E=")</f>
        <v>#VALUE!</v>
      </c>
      <c r="EA3">
        <f>IF('Ark1'!106:106,"AAAAAH7/74I=",0)</f>
        <v>0</v>
      </c>
      <c r="EB3" t="e">
        <f>AND('Ark1'!A106,"AAAAAH7/74M=")</f>
        <v>#VALUE!</v>
      </c>
      <c r="EC3" t="e">
        <f>AND('Ark1'!B106,"AAAAAH7/74Q=")</f>
        <v>#VALUE!</v>
      </c>
      <c r="ED3" t="e">
        <f>AND('Ark1'!C106,"AAAAAH7/74U=")</f>
        <v>#VALUE!</v>
      </c>
      <c r="EE3" t="e">
        <f>AND('Ark1'!D106,"AAAAAH7/74Y=")</f>
        <v>#VALUE!</v>
      </c>
      <c r="EF3" t="e">
        <f>AND('Ark1'!E106,"AAAAAH7/74c=")</f>
        <v>#VALUE!</v>
      </c>
      <c r="EG3">
        <f>IF('Ark1'!107:107,"AAAAAH7/74g=",0)</f>
        <v>0</v>
      </c>
      <c r="EH3" t="e">
        <f>AND('Ark1'!A107,"AAAAAH7/74k=")</f>
        <v>#VALUE!</v>
      </c>
      <c r="EI3" t="e">
        <f>AND('Ark1'!B107,"AAAAAH7/74o=")</f>
        <v>#VALUE!</v>
      </c>
      <c r="EJ3" t="e">
        <f>AND('Ark1'!C107,"AAAAAH7/74s=")</f>
        <v>#VALUE!</v>
      </c>
      <c r="EK3" t="e">
        <f>AND('Ark1'!D107,"AAAAAH7/74w=")</f>
        <v>#VALUE!</v>
      </c>
      <c r="EL3" t="e">
        <f>AND('Ark1'!E107,"AAAAAH7/740=")</f>
        <v>#VALUE!</v>
      </c>
      <c r="EM3">
        <f>IF('Ark1'!108:108,"AAAAAH7/744=",0)</f>
        <v>0</v>
      </c>
      <c r="EN3" t="e">
        <f>AND('Ark1'!A108,"AAAAAH7/748=")</f>
        <v>#VALUE!</v>
      </c>
      <c r="EO3" t="e">
        <f>AND('Ark1'!B108,"AAAAAH7/75A=")</f>
        <v>#VALUE!</v>
      </c>
      <c r="EP3" t="e">
        <f>AND('Ark1'!C108,"AAAAAH7/75E=")</f>
        <v>#VALUE!</v>
      </c>
      <c r="EQ3" t="e">
        <f>AND('Ark1'!D108,"AAAAAH7/75I=")</f>
        <v>#VALUE!</v>
      </c>
      <c r="ER3" t="e">
        <f>AND('Ark1'!E108,"AAAAAH7/75M=")</f>
        <v>#VALUE!</v>
      </c>
      <c r="ES3">
        <f>IF('Ark1'!109:109,"AAAAAH7/75Q=",0)</f>
        <v>0</v>
      </c>
      <c r="ET3" t="e">
        <f>AND('Ark1'!A109,"AAAAAH7/75U=")</f>
        <v>#VALUE!</v>
      </c>
      <c r="EU3" t="e">
        <f>AND('Ark1'!B109,"AAAAAH7/75Y=")</f>
        <v>#VALUE!</v>
      </c>
      <c r="EV3" t="e">
        <f>AND('Ark1'!C109,"AAAAAH7/75c=")</f>
        <v>#VALUE!</v>
      </c>
      <c r="EW3" t="e">
        <f>AND('Ark1'!D109,"AAAAAH7/75g=")</f>
        <v>#VALUE!</v>
      </c>
      <c r="EX3" t="e">
        <f>AND('Ark1'!E109,"AAAAAH7/75k=")</f>
        <v>#VALUE!</v>
      </c>
      <c r="EY3">
        <f>IF('Ark1'!110:110,"AAAAAH7/75o=",0)</f>
        <v>0</v>
      </c>
      <c r="EZ3" t="e">
        <f>AND('Ark1'!A110,"AAAAAH7/75s=")</f>
        <v>#VALUE!</v>
      </c>
      <c r="FA3" t="e">
        <f>AND('Ark1'!B110,"AAAAAH7/75w=")</f>
        <v>#VALUE!</v>
      </c>
      <c r="FB3" t="e">
        <f>AND('Ark1'!C110,"AAAAAH7/750=")</f>
        <v>#VALUE!</v>
      </c>
      <c r="FC3" t="e">
        <f>AND('Ark1'!D110,"AAAAAH7/754=")</f>
        <v>#VALUE!</v>
      </c>
      <c r="FD3" t="e">
        <f>AND('Ark1'!E110,"AAAAAH7/758=")</f>
        <v>#VALUE!</v>
      </c>
      <c r="FE3">
        <f>IF('Ark1'!111:111,"AAAAAH7/76A=",0)</f>
        <v>0</v>
      </c>
      <c r="FF3" t="e">
        <f>AND('Ark1'!A111,"AAAAAH7/76E=")</f>
        <v>#VALUE!</v>
      </c>
      <c r="FG3" t="e">
        <f>AND('Ark1'!B111,"AAAAAH7/76I=")</f>
        <v>#VALUE!</v>
      </c>
      <c r="FH3" t="e">
        <f>AND('Ark1'!C111,"AAAAAH7/76M=")</f>
        <v>#VALUE!</v>
      </c>
      <c r="FI3" t="e">
        <f>AND('Ark1'!D111,"AAAAAH7/76Q=")</f>
        <v>#VALUE!</v>
      </c>
      <c r="FJ3" t="e">
        <f>AND('Ark1'!E111,"AAAAAH7/76U=")</f>
        <v>#VALUE!</v>
      </c>
      <c r="FK3">
        <f>IF('Ark1'!112:112,"AAAAAH7/76Y=",0)</f>
        <v>0</v>
      </c>
      <c r="FL3" t="e">
        <f>AND('Ark1'!A112,"AAAAAH7/76c=")</f>
        <v>#VALUE!</v>
      </c>
      <c r="FM3" t="e">
        <f>AND('Ark1'!B112,"AAAAAH7/76g=")</f>
        <v>#VALUE!</v>
      </c>
      <c r="FN3" t="e">
        <f>AND('Ark1'!C112,"AAAAAH7/76k=")</f>
        <v>#VALUE!</v>
      </c>
      <c r="FO3" t="e">
        <f>AND('Ark1'!D112,"AAAAAH7/76o=")</f>
        <v>#VALUE!</v>
      </c>
      <c r="FP3" t="e">
        <f>AND('Ark1'!E112,"AAAAAH7/76s=")</f>
        <v>#VALUE!</v>
      </c>
      <c r="FQ3">
        <f>IF('Ark1'!113:113,"AAAAAH7/76w=",0)</f>
        <v>0</v>
      </c>
      <c r="FR3" t="e">
        <f>AND('Ark1'!A113,"AAAAAH7/760=")</f>
        <v>#VALUE!</v>
      </c>
      <c r="FS3" t="e">
        <f>AND('Ark1'!B113,"AAAAAH7/764=")</f>
        <v>#VALUE!</v>
      </c>
      <c r="FT3" t="e">
        <f>AND('Ark1'!C113,"AAAAAH7/768=")</f>
        <v>#VALUE!</v>
      </c>
      <c r="FU3" t="e">
        <f>AND('Ark1'!D113,"AAAAAH7/77A=")</f>
        <v>#VALUE!</v>
      </c>
      <c r="FV3" t="e">
        <f>AND('Ark1'!E113,"AAAAAH7/77E=")</f>
        <v>#VALUE!</v>
      </c>
      <c r="FW3">
        <f>IF('Ark1'!114:114,"AAAAAH7/77I=",0)</f>
        <v>0</v>
      </c>
      <c r="FX3" t="e">
        <f>AND('Ark1'!A114,"AAAAAH7/77M=")</f>
        <v>#VALUE!</v>
      </c>
      <c r="FY3" t="e">
        <f>AND('Ark1'!B114,"AAAAAH7/77Q=")</f>
        <v>#VALUE!</v>
      </c>
      <c r="FZ3" t="e">
        <f>AND('Ark1'!C114,"AAAAAH7/77U=")</f>
        <v>#VALUE!</v>
      </c>
      <c r="GA3" t="e">
        <f>AND('Ark1'!D114,"AAAAAH7/77Y=")</f>
        <v>#VALUE!</v>
      </c>
      <c r="GB3" t="e">
        <f>AND('Ark1'!E114,"AAAAAH7/77c=")</f>
        <v>#VALUE!</v>
      </c>
      <c r="GC3">
        <f>IF('Ark1'!115:115,"AAAAAH7/77g=",0)</f>
        <v>0</v>
      </c>
      <c r="GD3" t="e">
        <f>AND('Ark1'!A115,"AAAAAH7/77k=")</f>
        <v>#VALUE!</v>
      </c>
      <c r="GE3" t="e">
        <f>AND('Ark1'!B115,"AAAAAH7/77o=")</f>
        <v>#VALUE!</v>
      </c>
      <c r="GF3" t="e">
        <f>AND('Ark1'!C115,"AAAAAH7/77s=")</f>
        <v>#VALUE!</v>
      </c>
      <c r="GG3" t="e">
        <f>AND('Ark1'!D115,"AAAAAH7/77w=")</f>
        <v>#VALUE!</v>
      </c>
      <c r="GH3" t="e">
        <f>AND('Ark1'!E115,"AAAAAH7/770=")</f>
        <v>#VALUE!</v>
      </c>
      <c r="GI3">
        <f>IF('Ark1'!116:116,"AAAAAH7/774=",0)</f>
        <v>0</v>
      </c>
      <c r="GJ3" t="e">
        <f>AND('Ark1'!A116,"AAAAAH7/778=")</f>
        <v>#VALUE!</v>
      </c>
      <c r="GK3" t="e">
        <f>AND('Ark1'!B116,"AAAAAH7/78A=")</f>
        <v>#VALUE!</v>
      </c>
      <c r="GL3" t="e">
        <f>AND('Ark1'!C116,"AAAAAH7/78E=")</f>
        <v>#VALUE!</v>
      </c>
      <c r="GM3" t="e">
        <f>AND('Ark1'!D116,"AAAAAH7/78I=")</f>
        <v>#VALUE!</v>
      </c>
      <c r="GN3" t="e">
        <f>AND('Ark1'!E116,"AAAAAH7/78M=")</f>
        <v>#VALUE!</v>
      </c>
      <c r="GO3">
        <f>IF('Ark1'!117:117,"AAAAAH7/78Q=",0)</f>
        <v>0</v>
      </c>
      <c r="GP3" t="e">
        <f>AND('Ark1'!A117,"AAAAAH7/78U=")</f>
        <v>#VALUE!</v>
      </c>
      <c r="GQ3" t="e">
        <f>AND('Ark1'!B117,"AAAAAH7/78Y=")</f>
        <v>#VALUE!</v>
      </c>
      <c r="GR3" t="e">
        <f>AND('Ark1'!C117,"AAAAAH7/78c=")</f>
        <v>#VALUE!</v>
      </c>
      <c r="GS3" t="e">
        <f>AND('Ark1'!D117,"AAAAAH7/78g=")</f>
        <v>#VALUE!</v>
      </c>
      <c r="GT3" t="e">
        <f>AND('Ark1'!E117,"AAAAAH7/78k=")</f>
        <v>#VALUE!</v>
      </c>
      <c r="GU3">
        <f>IF('Ark1'!118:118,"AAAAAH7/78o=",0)</f>
        <v>0</v>
      </c>
      <c r="GV3" t="e">
        <f>AND('Ark1'!A118,"AAAAAH7/78s=")</f>
        <v>#VALUE!</v>
      </c>
      <c r="GW3" t="e">
        <f>AND('Ark1'!B118,"AAAAAH7/78w=")</f>
        <v>#VALUE!</v>
      </c>
      <c r="GX3" t="e">
        <f>AND('Ark1'!C118,"AAAAAH7/780=")</f>
        <v>#VALUE!</v>
      </c>
      <c r="GY3" t="e">
        <f>AND('Ark1'!D118,"AAAAAH7/784=")</f>
        <v>#VALUE!</v>
      </c>
      <c r="GZ3" t="e">
        <f>AND('Ark1'!E118,"AAAAAH7/788=")</f>
        <v>#VALUE!</v>
      </c>
      <c r="HA3">
        <f>IF('Ark1'!119:119,"AAAAAH7/79A=",0)</f>
        <v>0</v>
      </c>
      <c r="HB3" t="e">
        <f>AND('Ark1'!A119,"AAAAAH7/79E=")</f>
        <v>#VALUE!</v>
      </c>
      <c r="HC3" t="e">
        <f>AND('Ark1'!B119,"AAAAAH7/79I=")</f>
        <v>#VALUE!</v>
      </c>
      <c r="HD3" t="e">
        <f>AND('Ark1'!C119,"AAAAAH7/79M=")</f>
        <v>#VALUE!</v>
      </c>
      <c r="HE3" t="e">
        <f>AND('Ark1'!D119,"AAAAAH7/79Q=")</f>
        <v>#VALUE!</v>
      </c>
      <c r="HF3" t="e">
        <f>AND('Ark1'!E119,"AAAAAH7/79U=")</f>
        <v>#VALUE!</v>
      </c>
      <c r="HG3">
        <f>IF('Ark1'!120:120,"AAAAAH7/79Y=",0)</f>
        <v>0</v>
      </c>
      <c r="HH3" t="e">
        <f>AND('Ark1'!A120,"AAAAAH7/79c=")</f>
        <v>#VALUE!</v>
      </c>
      <c r="HI3" t="e">
        <f>AND('Ark1'!B120,"AAAAAH7/79g=")</f>
        <v>#VALUE!</v>
      </c>
      <c r="HJ3" t="e">
        <f>AND('Ark1'!C120,"AAAAAH7/79k=")</f>
        <v>#VALUE!</v>
      </c>
      <c r="HK3" t="e">
        <f>AND('Ark1'!D120,"AAAAAH7/79o=")</f>
        <v>#VALUE!</v>
      </c>
      <c r="HL3" t="e">
        <f>AND('Ark1'!E120,"AAAAAH7/79s=")</f>
        <v>#VALUE!</v>
      </c>
      <c r="HM3">
        <f>IF('Ark1'!121:121,"AAAAAH7/79w=",0)</f>
        <v>0</v>
      </c>
      <c r="HN3" t="e">
        <f>AND('Ark1'!A121,"AAAAAH7/790=")</f>
        <v>#VALUE!</v>
      </c>
      <c r="HO3" t="e">
        <f>AND('Ark1'!B121,"AAAAAH7/794=")</f>
        <v>#VALUE!</v>
      </c>
      <c r="HP3" t="e">
        <f>AND('Ark1'!C121,"AAAAAH7/798=")</f>
        <v>#VALUE!</v>
      </c>
      <c r="HQ3" t="e">
        <f>AND('Ark1'!D121,"AAAAAH7/7+A=")</f>
        <v>#VALUE!</v>
      </c>
      <c r="HR3" t="e">
        <f>AND('Ark1'!E121,"AAAAAH7/7+E=")</f>
        <v>#VALUE!</v>
      </c>
      <c r="HS3">
        <f>IF('Ark1'!122:122,"AAAAAH7/7+I=",0)</f>
        <v>0</v>
      </c>
      <c r="HT3" t="e">
        <f>AND('Ark1'!A122,"AAAAAH7/7+M=")</f>
        <v>#VALUE!</v>
      </c>
      <c r="HU3" t="e">
        <f>AND('Ark1'!B122,"AAAAAH7/7+Q=")</f>
        <v>#VALUE!</v>
      </c>
      <c r="HV3" t="e">
        <f>AND('Ark1'!C122,"AAAAAH7/7+U=")</f>
        <v>#VALUE!</v>
      </c>
      <c r="HW3" t="e">
        <f>AND('Ark1'!D122,"AAAAAH7/7+Y=")</f>
        <v>#VALUE!</v>
      </c>
      <c r="HX3" t="e">
        <f>AND('Ark1'!E122,"AAAAAH7/7+c=")</f>
        <v>#VALUE!</v>
      </c>
      <c r="HY3">
        <f>IF('Ark1'!123:123,"AAAAAH7/7+g=",0)</f>
        <v>0</v>
      </c>
      <c r="HZ3" t="e">
        <f>AND('Ark1'!A123,"AAAAAH7/7+k=")</f>
        <v>#VALUE!</v>
      </c>
      <c r="IA3" t="e">
        <f>AND('Ark1'!B123,"AAAAAH7/7+o=")</f>
        <v>#VALUE!</v>
      </c>
      <c r="IB3" t="e">
        <f>AND('Ark1'!C123,"AAAAAH7/7+s=")</f>
        <v>#VALUE!</v>
      </c>
      <c r="IC3" t="e">
        <f>AND('Ark1'!D123,"AAAAAH7/7+w=")</f>
        <v>#VALUE!</v>
      </c>
      <c r="ID3" t="e">
        <f>AND('Ark1'!E123,"AAAAAH7/7+0=")</f>
        <v>#VALUE!</v>
      </c>
      <c r="IE3">
        <f>IF('Ark1'!124:124,"AAAAAH7/7+4=",0)</f>
        <v>0</v>
      </c>
      <c r="IF3" t="e">
        <f>AND('Ark1'!A124,"AAAAAH7/7+8=")</f>
        <v>#VALUE!</v>
      </c>
      <c r="IG3" t="e">
        <f>AND('Ark1'!B124,"AAAAAH7/7/A=")</f>
        <v>#VALUE!</v>
      </c>
      <c r="IH3" t="e">
        <f>AND('Ark1'!C124,"AAAAAH7/7/E=")</f>
        <v>#VALUE!</v>
      </c>
      <c r="II3" t="e">
        <f>AND('Ark1'!D124,"AAAAAH7/7/I=")</f>
        <v>#VALUE!</v>
      </c>
      <c r="IJ3" t="e">
        <f>AND('Ark1'!E124,"AAAAAH7/7/M=")</f>
        <v>#VALUE!</v>
      </c>
      <c r="IK3">
        <f>IF('Ark1'!125:125,"AAAAAH7/7/Q=",0)</f>
        <v>0</v>
      </c>
      <c r="IL3" t="e">
        <f>AND('Ark1'!A125,"AAAAAH7/7/U=")</f>
        <v>#VALUE!</v>
      </c>
      <c r="IM3" t="e">
        <f>AND('Ark1'!B125,"AAAAAH7/7/Y=")</f>
        <v>#VALUE!</v>
      </c>
      <c r="IN3" t="e">
        <f>AND('Ark1'!C125,"AAAAAH7/7/c=")</f>
        <v>#VALUE!</v>
      </c>
      <c r="IO3" t="e">
        <f>AND('Ark1'!D125,"AAAAAH7/7/g=")</f>
        <v>#VALUE!</v>
      </c>
      <c r="IP3" t="e">
        <f>AND('Ark1'!E125,"AAAAAH7/7/k=")</f>
        <v>#VALUE!</v>
      </c>
      <c r="IQ3">
        <f>IF('Ark1'!126:126,"AAAAAH7/7/o=",0)</f>
        <v>0</v>
      </c>
      <c r="IR3" t="e">
        <f>AND('Ark1'!A126,"AAAAAH7/7/s=")</f>
        <v>#VALUE!</v>
      </c>
      <c r="IS3" t="e">
        <f>AND('Ark1'!B126,"AAAAAH7/7/w=")</f>
        <v>#VALUE!</v>
      </c>
      <c r="IT3" t="e">
        <f>AND('Ark1'!C126,"AAAAAH7/7/0=")</f>
        <v>#VALUE!</v>
      </c>
      <c r="IU3" t="e">
        <f>AND('Ark1'!D126,"AAAAAH7/7/4=")</f>
        <v>#VALUE!</v>
      </c>
      <c r="IV3" t="e">
        <f>AND('Ark1'!E126,"AAAAAH7/7/8=")</f>
        <v>#VALUE!</v>
      </c>
    </row>
    <row r="4" spans="1:256" x14ac:dyDescent="0.25">
      <c r="A4" t="e">
        <f>IF('Ark1'!127:127,"AAAAAF///wA=",0)</f>
        <v>#VALUE!</v>
      </c>
      <c r="B4" t="e">
        <f>AND('Ark1'!A127,"AAAAAF///wE=")</f>
        <v>#VALUE!</v>
      </c>
      <c r="C4" t="e">
        <f>AND('Ark1'!B127,"AAAAAF///wI=")</f>
        <v>#VALUE!</v>
      </c>
      <c r="D4" t="e">
        <f>AND('Ark1'!C127,"AAAAAF///wM=")</f>
        <v>#VALUE!</v>
      </c>
      <c r="E4" t="e">
        <f>AND('Ark1'!D127,"AAAAAF///wQ=")</f>
        <v>#VALUE!</v>
      </c>
      <c r="F4" t="e">
        <f>AND('Ark1'!E127,"AAAAAF///wU=")</f>
        <v>#VALUE!</v>
      </c>
      <c r="G4">
        <f>IF('Ark1'!128:128,"AAAAAF///wY=",0)</f>
        <v>0</v>
      </c>
      <c r="H4" t="e">
        <f>AND('Ark1'!A128,"AAAAAF///wc=")</f>
        <v>#VALUE!</v>
      </c>
      <c r="I4" t="e">
        <f>AND('Ark1'!B128,"AAAAAF///wg=")</f>
        <v>#VALUE!</v>
      </c>
      <c r="J4" t="e">
        <f>AND('Ark1'!C128,"AAAAAF///wk=")</f>
        <v>#VALUE!</v>
      </c>
      <c r="K4" t="e">
        <f>AND('Ark1'!D128,"AAAAAF///wo=")</f>
        <v>#VALUE!</v>
      </c>
      <c r="L4" t="e">
        <f>AND('Ark1'!E128,"AAAAAF///ws=")</f>
        <v>#VALUE!</v>
      </c>
      <c r="M4">
        <f>IF('Ark1'!129:129,"AAAAAF///ww=",0)</f>
        <v>0</v>
      </c>
      <c r="N4" t="e">
        <f>AND('Ark1'!A129,"AAAAAF///w0=")</f>
        <v>#VALUE!</v>
      </c>
      <c r="O4" t="e">
        <f>AND('Ark1'!B129,"AAAAAF///w4=")</f>
        <v>#VALUE!</v>
      </c>
      <c r="P4" t="e">
        <f>AND('Ark1'!C129,"AAAAAF///w8=")</f>
        <v>#VALUE!</v>
      </c>
      <c r="Q4" t="e">
        <f>AND('Ark1'!D129,"AAAAAF///xA=")</f>
        <v>#VALUE!</v>
      </c>
      <c r="R4" t="e">
        <f>AND('Ark1'!E129,"AAAAAF///xE=")</f>
        <v>#VALUE!</v>
      </c>
      <c r="S4">
        <f>IF('Ark1'!130:130,"AAAAAF///xI=",0)</f>
        <v>0</v>
      </c>
      <c r="T4" t="e">
        <f>AND('Ark1'!A130,"AAAAAF///xM=")</f>
        <v>#VALUE!</v>
      </c>
      <c r="U4" t="e">
        <f>AND('Ark1'!B130,"AAAAAF///xQ=")</f>
        <v>#VALUE!</v>
      </c>
      <c r="V4" t="e">
        <f>AND('Ark1'!C130,"AAAAAF///xU=")</f>
        <v>#VALUE!</v>
      </c>
      <c r="W4" t="e">
        <f>AND('Ark1'!D130,"AAAAAF///xY=")</f>
        <v>#VALUE!</v>
      </c>
      <c r="X4" t="e">
        <f>AND('Ark1'!E130,"AAAAAF///xc=")</f>
        <v>#VALUE!</v>
      </c>
      <c r="Y4">
        <f>IF('Ark1'!131:131,"AAAAAF///xg=",0)</f>
        <v>0</v>
      </c>
      <c r="Z4" t="e">
        <f>AND('Ark1'!A131,"AAAAAF///xk=")</f>
        <v>#VALUE!</v>
      </c>
      <c r="AA4" t="e">
        <f>AND('Ark1'!B131,"AAAAAF///xo=")</f>
        <v>#VALUE!</v>
      </c>
      <c r="AB4" t="e">
        <f>AND('Ark1'!C131,"AAAAAF///xs=")</f>
        <v>#VALUE!</v>
      </c>
      <c r="AC4" t="e">
        <f>AND('Ark1'!D131,"AAAAAF///xw=")</f>
        <v>#VALUE!</v>
      </c>
      <c r="AD4" t="e">
        <f>AND('Ark1'!E131,"AAAAAF///x0=")</f>
        <v>#VALUE!</v>
      </c>
      <c r="AE4">
        <f>IF('Ark1'!132:132,"AAAAAF///x4=",0)</f>
        <v>0</v>
      </c>
      <c r="AF4" t="e">
        <f>AND('Ark1'!A132,"AAAAAF///x8=")</f>
        <v>#VALUE!</v>
      </c>
      <c r="AG4" t="e">
        <f>AND('Ark1'!B132,"AAAAAF///yA=")</f>
        <v>#VALUE!</v>
      </c>
      <c r="AH4" t="e">
        <f>AND('Ark1'!C132,"AAAAAF///yE=")</f>
        <v>#VALUE!</v>
      </c>
      <c r="AI4" t="e">
        <f>AND('Ark1'!D132,"AAAAAF///yI=")</f>
        <v>#VALUE!</v>
      </c>
      <c r="AJ4" t="e">
        <f>AND('Ark1'!E132,"AAAAAF///yM=")</f>
        <v>#VALUE!</v>
      </c>
      <c r="AK4">
        <f>IF('Ark1'!133:133,"AAAAAF///yQ=",0)</f>
        <v>0</v>
      </c>
      <c r="AL4" t="e">
        <f>AND('Ark1'!A133,"AAAAAF///yU=")</f>
        <v>#VALUE!</v>
      </c>
      <c r="AM4" t="e">
        <f>AND('Ark1'!B133,"AAAAAF///yY=")</f>
        <v>#VALUE!</v>
      </c>
      <c r="AN4" t="e">
        <f>AND('Ark1'!C133,"AAAAAF///yc=")</f>
        <v>#VALUE!</v>
      </c>
      <c r="AO4" t="e">
        <f>AND('Ark1'!D133,"AAAAAF///yg=")</f>
        <v>#VALUE!</v>
      </c>
      <c r="AP4" t="e">
        <f>AND('Ark1'!E133,"AAAAAF///yk=")</f>
        <v>#VALUE!</v>
      </c>
      <c r="AQ4">
        <f>IF('Ark1'!134:134,"AAAAAF///yo=",0)</f>
        <v>0</v>
      </c>
      <c r="AR4" t="e">
        <f>AND('Ark1'!A134,"AAAAAF///ys=")</f>
        <v>#VALUE!</v>
      </c>
      <c r="AS4" t="e">
        <f>AND('Ark1'!B134,"AAAAAF///yw=")</f>
        <v>#VALUE!</v>
      </c>
      <c r="AT4" t="e">
        <f>AND('Ark1'!C134,"AAAAAF///y0=")</f>
        <v>#VALUE!</v>
      </c>
      <c r="AU4" t="e">
        <f>AND('Ark1'!D134,"AAAAAF///y4=")</f>
        <v>#VALUE!</v>
      </c>
      <c r="AV4" t="e">
        <f>AND('Ark1'!E134,"AAAAAF///y8=")</f>
        <v>#VALUE!</v>
      </c>
      <c r="AW4">
        <f>IF('Ark1'!135:135,"AAAAAF///zA=",0)</f>
        <v>0</v>
      </c>
      <c r="AX4" t="e">
        <f>AND('Ark1'!A135,"AAAAAF///zE=")</f>
        <v>#VALUE!</v>
      </c>
      <c r="AY4" t="e">
        <f>AND('Ark1'!B135,"AAAAAF///zI=")</f>
        <v>#VALUE!</v>
      </c>
      <c r="AZ4" t="e">
        <f>AND('Ark1'!C135,"AAAAAF///zM=")</f>
        <v>#VALUE!</v>
      </c>
      <c r="BA4" t="e">
        <f>AND('Ark1'!D135,"AAAAAF///zQ=")</f>
        <v>#VALUE!</v>
      </c>
      <c r="BB4" t="e">
        <f>AND('Ark1'!E135,"AAAAAF///zU=")</f>
        <v>#VALUE!</v>
      </c>
      <c r="BC4">
        <f>IF('Ark1'!136:136,"AAAAAF///zY=",0)</f>
        <v>0</v>
      </c>
      <c r="BD4" t="e">
        <f>AND('Ark1'!A136,"AAAAAF///zc=")</f>
        <v>#VALUE!</v>
      </c>
      <c r="BE4" t="e">
        <f>AND('Ark1'!B136,"AAAAAF///zg=")</f>
        <v>#VALUE!</v>
      </c>
      <c r="BF4" t="e">
        <f>AND('Ark1'!C136,"AAAAAF///zk=")</f>
        <v>#VALUE!</v>
      </c>
      <c r="BG4" t="e">
        <f>AND('Ark1'!D136,"AAAAAF///zo=")</f>
        <v>#VALUE!</v>
      </c>
      <c r="BH4" t="e">
        <f>AND('Ark1'!E136,"AAAAAF///zs=")</f>
        <v>#VALUE!</v>
      </c>
      <c r="BI4">
        <f>IF('Ark1'!137:137,"AAAAAF///zw=",0)</f>
        <v>0</v>
      </c>
      <c r="BJ4" t="e">
        <f>AND('Ark1'!A137,"AAAAAF///z0=")</f>
        <v>#VALUE!</v>
      </c>
      <c r="BK4" t="e">
        <f>AND('Ark1'!B137,"AAAAAF///z4=")</f>
        <v>#VALUE!</v>
      </c>
      <c r="BL4" t="e">
        <f>AND('Ark1'!C137,"AAAAAF///z8=")</f>
        <v>#VALUE!</v>
      </c>
      <c r="BM4" t="e">
        <f>AND('Ark1'!D137,"AAAAAF///0A=")</f>
        <v>#VALUE!</v>
      </c>
      <c r="BN4" t="e">
        <f>AND('Ark1'!E137,"AAAAAF///0E=")</f>
        <v>#VALUE!</v>
      </c>
      <c r="BO4">
        <f>IF('Ark1'!138:138,"AAAAAF///0I=",0)</f>
        <v>0</v>
      </c>
      <c r="BP4" t="e">
        <f>AND('Ark1'!A138,"AAAAAF///0M=")</f>
        <v>#VALUE!</v>
      </c>
      <c r="BQ4" t="e">
        <f>AND('Ark1'!B138,"AAAAAF///0Q=")</f>
        <v>#VALUE!</v>
      </c>
      <c r="BR4" t="e">
        <f>AND('Ark1'!C138,"AAAAAF///0U=")</f>
        <v>#VALUE!</v>
      </c>
      <c r="BS4" t="e">
        <f>AND('Ark1'!D138,"AAAAAF///0Y=")</f>
        <v>#VALUE!</v>
      </c>
      <c r="BT4" t="e">
        <f>AND('Ark1'!E138,"AAAAAF///0c=")</f>
        <v>#VALUE!</v>
      </c>
      <c r="BU4">
        <f>IF('Ark1'!139:139,"AAAAAF///0g=",0)</f>
        <v>0</v>
      </c>
      <c r="BV4" t="e">
        <f>AND('Ark1'!A139,"AAAAAF///0k=")</f>
        <v>#VALUE!</v>
      </c>
      <c r="BW4" t="e">
        <f>AND('Ark1'!B139,"AAAAAF///0o=")</f>
        <v>#VALUE!</v>
      </c>
      <c r="BX4" t="e">
        <f>AND('Ark1'!C139,"AAAAAF///0s=")</f>
        <v>#VALUE!</v>
      </c>
      <c r="BY4" t="e">
        <f>AND('Ark1'!D139,"AAAAAF///0w=")</f>
        <v>#VALUE!</v>
      </c>
      <c r="BZ4" t="e">
        <f>AND('Ark1'!E139,"AAAAAF///00=")</f>
        <v>#VALUE!</v>
      </c>
      <c r="CA4">
        <f>IF('Ark1'!140:140,"AAAAAF///04=",0)</f>
        <v>0</v>
      </c>
      <c r="CB4" t="e">
        <f>AND('Ark1'!A140,"AAAAAF///08=")</f>
        <v>#VALUE!</v>
      </c>
      <c r="CC4" t="e">
        <f>AND('Ark1'!B140,"AAAAAF///1A=")</f>
        <v>#VALUE!</v>
      </c>
      <c r="CD4" t="e">
        <f>AND('Ark1'!C140,"AAAAAF///1E=")</f>
        <v>#VALUE!</v>
      </c>
      <c r="CE4" t="e">
        <f>AND('Ark1'!D140,"AAAAAF///1I=")</f>
        <v>#VALUE!</v>
      </c>
      <c r="CF4" t="e">
        <f>AND('Ark1'!E140,"AAAAAF///1M=")</f>
        <v>#VALUE!</v>
      </c>
      <c r="CG4">
        <f>IF('Ark1'!141:141,"AAAAAF///1Q=",0)</f>
        <v>0</v>
      </c>
      <c r="CH4" t="e">
        <f>AND('Ark1'!A141,"AAAAAF///1U=")</f>
        <v>#VALUE!</v>
      </c>
      <c r="CI4" t="e">
        <f>AND('Ark1'!B141,"AAAAAF///1Y=")</f>
        <v>#VALUE!</v>
      </c>
      <c r="CJ4" t="e">
        <f>AND('Ark1'!C141,"AAAAAF///1c=")</f>
        <v>#VALUE!</v>
      </c>
      <c r="CK4" t="e">
        <f>AND('Ark1'!D141,"AAAAAF///1g=")</f>
        <v>#VALUE!</v>
      </c>
      <c r="CL4" t="e">
        <f>AND('Ark1'!E141,"AAAAAF///1k=")</f>
        <v>#VALUE!</v>
      </c>
      <c r="CM4">
        <f>IF('Ark1'!142:142,"AAAAAF///1o=",0)</f>
        <v>0</v>
      </c>
      <c r="CN4" t="e">
        <f>AND('Ark1'!A142,"AAAAAF///1s=")</f>
        <v>#VALUE!</v>
      </c>
      <c r="CO4" t="e">
        <f>AND('Ark1'!B142,"AAAAAF///1w=")</f>
        <v>#VALUE!</v>
      </c>
      <c r="CP4" t="e">
        <f>AND('Ark1'!C142,"AAAAAF///10=")</f>
        <v>#VALUE!</v>
      </c>
      <c r="CQ4" t="e">
        <f>AND('Ark1'!D142,"AAAAAF///14=")</f>
        <v>#VALUE!</v>
      </c>
      <c r="CR4" t="e">
        <f>AND('Ark1'!E142,"AAAAAF///18=")</f>
        <v>#VALUE!</v>
      </c>
      <c r="CS4">
        <f>IF('Ark1'!143:143,"AAAAAF///2A=",0)</f>
        <v>0</v>
      </c>
      <c r="CT4" t="e">
        <f>AND('Ark1'!A143,"AAAAAF///2E=")</f>
        <v>#VALUE!</v>
      </c>
      <c r="CU4" t="e">
        <f>AND('Ark1'!B143,"AAAAAF///2I=")</f>
        <v>#VALUE!</v>
      </c>
      <c r="CV4" t="e">
        <f>AND('Ark1'!C143,"AAAAAF///2M=")</f>
        <v>#VALUE!</v>
      </c>
      <c r="CW4" t="e">
        <f>AND('Ark1'!D143,"AAAAAF///2Q=")</f>
        <v>#VALUE!</v>
      </c>
      <c r="CX4" t="e">
        <f>AND('Ark1'!E143,"AAAAAF///2U=")</f>
        <v>#VALUE!</v>
      </c>
      <c r="CY4">
        <f>IF('Ark1'!144:144,"AAAAAF///2Y=",0)</f>
        <v>0</v>
      </c>
      <c r="CZ4" t="e">
        <f>AND('Ark1'!A144,"AAAAAF///2c=")</f>
        <v>#VALUE!</v>
      </c>
      <c r="DA4" t="e">
        <f>AND('Ark1'!B144,"AAAAAF///2g=")</f>
        <v>#VALUE!</v>
      </c>
      <c r="DB4" t="e">
        <f>AND('Ark1'!C144,"AAAAAF///2k=")</f>
        <v>#VALUE!</v>
      </c>
      <c r="DC4" t="e">
        <f>AND('Ark1'!D144,"AAAAAF///2o=")</f>
        <v>#VALUE!</v>
      </c>
      <c r="DD4" t="e">
        <f>AND('Ark1'!E144,"AAAAAF///2s=")</f>
        <v>#VALUE!</v>
      </c>
      <c r="DE4">
        <f>IF('Ark1'!145:145,"AAAAAF///2w=",0)</f>
        <v>0</v>
      </c>
      <c r="DF4" t="e">
        <f>AND('Ark1'!A145,"AAAAAF///20=")</f>
        <v>#VALUE!</v>
      </c>
      <c r="DG4" t="e">
        <f>AND('Ark1'!B145,"AAAAAF///24=")</f>
        <v>#VALUE!</v>
      </c>
      <c r="DH4" t="e">
        <f>AND('Ark1'!C145,"AAAAAF///28=")</f>
        <v>#VALUE!</v>
      </c>
      <c r="DI4" t="e">
        <f>AND('Ark1'!D145,"AAAAAF///3A=")</f>
        <v>#VALUE!</v>
      </c>
      <c r="DJ4" t="e">
        <f>AND('Ark1'!E145,"AAAAAF///3E=")</f>
        <v>#VALUE!</v>
      </c>
      <c r="DK4">
        <f>IF('Ark1'!146:146,"AAAAAF///3I=",0)</f>
        <v>0</v>
      </c>
      <c r="DL4" t="e">
        <f>AND('Ark1'!A146,"AAAAAF///3M=")</f>
        <v>#VALUE!</v>
      </c>
      <c r="DM4" t="e">
        <f>AND('Ark1'!B146,"AAAAAF///3Q=")</f>
        <v>#VALUE!</v>
      </c>
      <c r="DN4" t="e">
        <f>AND('Ark1'!C146,"AAAAAF///3U=")</f>
        <v>#VALUE!</v>
      </c>
      <c r="DO4" t="e">
        <f>AND('Ark1'!D146,"AAAAAF///3Y=")</f>
        <v>#VALUE!</v>
      </c>
      <c r="DP4" t="e">
        <f>AND('Ark1'!E146,"AAAAAF///3c=")</f>
        <v>#VALUE!</v>
      </c>
      <c r="DQ4">
        <f>IF('Ark1'!147:147,"AAAAAF///3g=",0)</f>
        <v>0</v>
      </c>
      <c r="DR4" t="e">
        <f>AND('Ark1'!A147,"AAAAAF///3k=")</f>
        <v>#VALUE!</v>
      </c>
      <c r="DS4" t="e">
        <f>AND('Ark1'!B147,"AAAAAF///3o=")</f>
        <v>#VALUE!</v>
      </c>
      <c r="DT4" t="e">
        <f>AND('Ark1'!C147,"AAAAAF///3s=")</f>
        <v>#VALUE!</v>
      </c>
      <c r="DU4" t="e">
        <f>AND('Ark1'!D147,"AAAAAF///3w=")</f>
        <v>#VALUE!</v>
      </c>
      <c r="DV4" t="e">
        <f>AND('Ark1'!E147,"AAAAAF///30=")</f>
        <v>#VALUE!</v>
      </c>
      <c r="DW4">
        <f>IF('Ark1'!148:148,"AAAAAF///34=",0)</f>
        <v>0</v>
      </c>
      <c r="DX4" t="e">
        <f>AND('Ark1'!A148,"AAAAAF///38=")</f>
        <v>#VALUE!</v>
      </c>
      <c r="DY4" t="e">
        <f>AND('Ark1'!B148,"AAAAAF///4A=")</f>
        <v>#VALUE!</v>
      </c>
      <c r="DZ4" t="e">
        <f>AND('Ark1'!C148,"AAAAAF///4E=")</f>
        <v>#VALUE!</v>
      </c>
      <c r="EA4" t="e">
        <f>AND('Ark1'!D148,"AAAAAF///4I=")</f>
        <v>#VALUE!</v>
      </c>
      <c r="EB4" t="e">
        <f>AND('Ark1'!E148,"AAAAAF///4M=")</f>
        <v>#VALUE!</v>
      </c>
      <c r="EC4">
        <f>IF('Ark1'!149:149,"AAAAAF///4Q=",0)</f>
        <v>0</v>
      </c>
      <c r="ED4" t="e">
        <f>AND('Ark1'!A149,"AAAAAF///4U=")</f>
        <v>#VALUE!</v>
      </c>
      <c r="EE4" t="e">
        <f>AND('Ark1'!B149,"AAAAAF///4Y=")</f>
        <v>#VALUE!</v>
      </c>
      <c r="EF4" t="e">
        <f>AND('Ark1'!C149,"AAAAAF///4c=")</f>
        <v>#VALUE!</v>
      </c>
      <c r="EG4" t="e">
        <f>AND('Ark1'!D149,"AAAAAF///4g=")</f>
        <v>#VALUE!</v>
      </c>
      <c r="EH4" t="e">
        <f>AND('Ark1'!E149,"AAAAAF///4k=")</f>
        <v>#VALUE!</v>
      </c>
      <c r="EI4">
        <f>IF('Ark1'!150:150,"AAAAAF///4o=",0)</f>
        <v>0</v>
      </c>
      <c r="EJ4" t="e">
        <f>AND('Ark1'!A150,"AAAAAF///4s=")</f>
        <v>#VALUE!</v>
      </c>
      <c r="EK4" t="e">
        <f>AND('Ark1'!B150,"AAAAAF///4w=")</f>
        <v>#VALUE!</v>
      </c>
      <c r="EL4" t="e">
        <f>AND('Ark1'!C150,"AAAAAF///40=")</f>
        <v>#VALUE!</v>
      </c>
      <c r="EM4" t="e">
        <f>AND('Ark1'!D150,"AAAAAF///44=")</f>
        <v>#VALUE!</v>
      </c>
      <c r="EN4" t="e">
        <f>AND('Ark1'!E150,"AAAAAF///48=")</f>
        <v>#VALUE!</v>
      </c>
      <c r="EO4">
        <f>IF('Ark1'!151:151,"AAAAAF///5A=",0)</f>
        <v>0</v>
      </c>
      <c r="EP4" t="e">
        <f>AND('Ark1'!A151,"AAAAAF///5E=")</f>
        <v>#VALUE!</v>
      </c>
      <c r="EQ4" t="e">
        <f>AND('Ark1'!B151,"AAAAAF///5I=")</f>
        <v>#VALUE!</v>
      </c>
      <c r="ER4" t="e">
        <f>AND('Ark1'!C151,"AAAAAF///5M=")</f>
        <v>#VALUE!</v>
      </c>
      <c r="ES4" t="e">
        <f>AND('Ark1'!D151,"AAAAAF///5Q=")</f>
        <v>#VALUE!</v>
      </c>
      <c r="ET4" t="e">
        <f>AND('Ark1'!E151,"AAAAAF///5U=")</f>
        <v>#VALUE!</v>
      </c>
      <c r="EU4">
        <f>IF('Ark1'!152:152,"AAAAAF///5Y=",0)</f>
        <v>0</v>
      </c>
      <c r="EV4" t="e">
        <f>AND('Ark1'!A152,"AAAAAF///5c=")</f>
        <v>#VALUE!</v>
      </c>
      <c r="EW4" t="e">
        <f>AND('Ark1'!B152,"AAAAAF///5g=")</f>
        <v>#VALUE!</v>
      </c>
      <c r="EX4" t="e">
        <f>AND('Ark1'!C152,"AAAAAF///5k=")</f>
        <v>#VALUE!</v>
      </c>
      <c r="EY4" t="e">
        <f>AND('Ark1'!D152,"AAAAAF///5o=")</f>
        <v>#VALUE!</v>
      </c>
      <c r="EZ4" t="e">
        <f>AND('Ark1'!E152,"AAAAAF///5s=")</f>
        <v>#VALUE!</v>
      </c>
      <c r="FA4">
        <f>IF('Ark1'!153:153,"AAAAAF///5w=",0)</f>
        <v>0</v>
      </c>
      <c r="FB4" t="e">
        <f>AND('Ark1'!A153,"AAAAAF///50=")</f>
        <v>#VALUE!</v>
      </c>
      <c r="FC4" t="e">
        <f>AND('Ark1'!B153,"AAAAAF///54=")</f>
        <v>#VALUE!</v>
      </c>
      <c r="FD4" t="e">
        <f>AND('Ark1'!C153,"AAAAAF///58=")</f>
        <v>#VALUE!</v>
      </c>
      <c r="FE4" t="e">
        <f>AND('Ark1'!D153,"AAAAAF///6A=")</f>
        <v>#VALUE!</v>
      </c>
      <c r="FF4" t="e">
        <f>AND('Ark1'!E153,"AAAAAF///6E=")</f>
        <v>#VALUE!</v>
      </c>
      <c r="FG4">
        <f>IF('Ark1'!154:154,"AAAAAF///6I=",0)</f>
        <v>0</v>
      </c>
      <c r="FH4" t="e">
        <f>AND('Ark1'!A154,"AAAAAF///6M=")</f>
        <v>#VALUE!</v>
      </c>
      <c r="FI4" t="e">
        <f>AND('Ark1'!B154,"AAAAAF///6Q=")</f>
        <v>#VALUE!</v>
      </c>
      <c r="FJ4" t="e">
        <f>AND('Ark1'!C154,"AAAAAF///6U=")</f>
        <v>#VALUE!</v>
      </c>
      <c r="FK4" t="e">
        <f>AND('Ark1'!D154,"AAAAAF///6Y=")</f>
        <v>#VALUE!</v>
      </c>
      <c r="FL4" t="e">
        <f>AND('Ark1'!E154,"AAAAAF///6c=")</f>
        <v>#VALUE!</v>
      </c>
      <c r="FM4">
        <f>IF('Ark1'!155:155,"AAAAAF///6g=",0)</f>
        <v>0</v>
      </c>
      <c r="FN4" t="e">
        <f>AND('Ark1'!A155,"AAAAAF///6k=")</f>
        <v>#VALUE!</v>
      </c>
      <c r="FO4" t="e">
        <f>AND('Ark1'!B155,"AAAAAF///6o=")</f>
        <v>#VALUE!</v>
      </c>
      <c r="FP4" t="e">
        <f>AND('Ark1'!C155,"AAAAAF///6s=")</f>
        <v>#VALUE!</v>
      </c>
      <c r="FQ4" t="e">
        <f>AND('Ark1'!D155,"AAAAAF///6w=")</f>
        <v>#VALUE!</v>
      </c>
      <c r="FR4" t="e">
        <f>AND('Ark1'!E155,"AAAAAF///60=")</f>
        <v>#VALUE!</v>
      </c>
      <c r="FS4">
        <f>IF('Ark1'!156:156,"AAAAAF///64=",0)</f>
        <v>0</v>
      </c>
      <c r="FT4" t="e">
        <f>AND('Ark1'!A156,"AAAAAF///68=")</f>
        <v>#VALUE!</v>
      </c>
      <c r="FU4" t="e">
        <f>AND('Ark1'!B156,"AAAAAF///7A=")</f>
        <v>#VALUE!</v>
      </c>
      <c r="FV4" t="e">
        <f>AND('Ark1'!C156,"AAAAAF///7E=")</f>
        <v>#VALUE!</v>
      </c>
      <c r="FW4" t="e">
        <f>AND('Ark1'!D156,"AAAAAF///7I=")</f>
        <v>#VALUE!</v>
      </c>
      <c r="FX4" t="e">
        <f>AND('Ark1'!E156,"AAAAAF///7M=")</f>
        <v>#VALUE!</v>
      </c>
      <c r="FY4">
        <f>IF('Ark1'!157:157,"AAAAAF///7Q=",0)</f>
        <v>0</v>
      </c>
      <c r="FZ4" t="e">
        <f>AND('Ark1'!A157,"AAAAAF///7U=")</f>
        <v>#VALUE!</v>
      </c>
      <c r="GA4" t="e">
        <f>AND('Ark1'!B157,"AAAAAF///7Y=")</f>
        <v>#VALUE!</v>
      </c>
      <c r="GB4" t="e">
        <f>AND('Ark1'!C157,"AAAAAF///7c=")</f>
        <v>#VALUE!</v>
      </c>
      <c r="GC4" t="e">
        <f>AND('Ark1'!D157,"AAAAAF///7g=")</f>
        <v>#VALUE!</v>
      </c>
      <c r="GD4" t="e">
        <f>AND('Ark1'!E157,"AAAAAF///7k=")</f>
        <v>#VALUE!</v>
      </c>
      <c r="GE4">
        <f>IF('Ark1'!158:158,"AAAAAF///7o=",0)</f>
        <v>0</v>
      </c>
      <c r="GF4" t="e">
        <f>AND('Ark1'!A158,"AAAAAF///7s=")</f>
        <v>#VALUE!</v>
      </c>
      <c r="GG4" t="e">
        <f>AND('Ark1'!B158,"AAAAAF///7w=")</f>
        <v>#VALUE!</v>
      </c>
      <c r="GH4" t="e">
        <f>AND('Ark1'!C158,"AAAAAF///70=")</f>
        <v>#VALUE!</v>
      </c>
      <c r="GI4" t="e">
        <f>AND('Ark1'!D158,"AAAAAF///74=")</f>
        <v>#VALUE!</v>
      </c>
      <c r="GJ4" t="e">
        <f>AND('Ark1'!E158,"AAAAAF///78=")</f>
        <v>#VALUE!</v>
      </c>
      <c r="GK4">
        <f>IF('Ark1'!159:159,"AAAAAF///8A=",0)</f>
        <v>0</v>
      </c>
      <c r="GL4" t="e">
        <f>AND('Ark1'!A159,"AAAAAF///8E=")</f>
        <v>#VALUE!</v>
      </c>
      <c r="GM4" t="e">
        <f>AND('Ark1'!B159,"AAAAAF///8I=")</f>
        <v>#VALUE!</v>
      </c>
      <c r="GN4" t="e">
        <f>AND('Ark1'!C159,"AAAAAF///8M=")</f>
        <v>#VALUE!</v>
      </c>
      <c r="GO4" t="e">
        <f>AND('Ark1'!D159,"AAAAAF///8Q=")</f>
        <v>#VALUE!</v>
      </c>
      <c r="GP4" t="e">
        <f>AND('Ark1'!E159,"AAAAAF///8U=")</f>
        <v>#VALUE!</v>
      </c>
      <c r="GQ4">
        <f>IF('Ark1'!160:160,"AAAAAF///8Y=",0)</f>
        <v>0</v>
      </c>
      <c r="GR4" t="e">
        <f>AND('Ark1'!A160,"AAAAAF///8c=")</f>
        <v>#VALUE!</v>
      </c>
      <c r="GS4" t="e">
        <f>AND('Ark1'!B160,"AAAAAF///8g=")</f>
        <v>#VALUE!</v>
      </c>
      <c r="GT4" t="e">
        <f>AND('Ark1'!C160,"AAAAAF///8k=")</f>
        <v>#VALUE!</v>
      </c>
      <c r="GU4" t="e">
        <f>AND('Ark1'!D160,"AAAAAF///8o=")</f>
        <v>#VALUE!</v>
      </c>
      <c r="GV4" t="e">
        <f>AND('Ark1'!E160,"AAAAAF///8s=")</f>
        <v>#VALUE!</v>
      </c>
      <c r="GW4">
        <f>IF('Ark1'!161:161,"AAAAAF///8w=",0)</f>
        <v>0</v>
      </c>
      <c r="GX4" t="e">
        <f>AND('Ark1'!A161,"AAAAAF///80=")</f>
        <v>#VALUE!</v>
      </c>
      <c r="GY4" t="e">
        <f>AND('Ark1'!B161,"AAAAAF///84=")</f>
        <v>#VALUE!</v>
      </c>
      <c r="GZ4" t="e">
        <f>AND('Ark1'!C161,"AAAAAF///88=")</f>
        <v>#VALUE!</v>
      </c>
      <c r="HA4" t="e">
        <f>AND('Ark1'!D161,"AAAAAF///9A=")</f>
        <v>#VALUE!</v>
      </c>
      <c r="HB4" t="e">
        <f>AND('Ark1'!E161,"AAAAAF///9E=")</f>
        <v>#VALUE!</v>
      </c>
      <c r="HC4">
        <f>IF('Ark1'!162:162,"AAAAAF///9I=",0)</f>
        <v>0</v>
      </c>
      <c r="HD4" t="e">
        <f>AND('Ark1'!A162,"AAAAAF///9M=")</f>
        <v>#VALUE!</v>
      </c>
      <c r="HE4" t="e">
        <f>AND('Ark1'!B162,"AAAAAF///9Q=")</f>
        <v>#VALUE!</v>
      </c>
      <c r="HF4" t="e">
        <f>AND('Ark1'!C162,"AAAAAF///9U=")</f>
        <v>#VALUE!</v>
      </c>
      <c r="HG4" t="e">
        <f>AND('Ark1'!D162,"AAAAAF///9Y=")</f>
        <v>#VALUE!</v>
      </c>
      <c r="HH4" t="e">
        <f>AND('Ark1'!E162,"AAAAAF///9c=")</f>
        <v>#VALUE!</v>
      </c>
      <c r="HI4">
        <f>IF('Ark1'!163:163,"AAAAAF///9g=",0)</f>
        <v>0</v>
      </c>
      <c r="HJ4" t="e">
        <f>AND('Ark1'!A163,"AAAAAF///9k=")</f>
        <v>#VALUE!</v>
      </c>
      <c r="HK4" t="e">
        <f>AND('Ark1'!B163,"AAAAAF///9o=")</f>
        <v>#VALUE!</v>
      </c>
      <c r="HL4" t="e">
        <f>AND('Ark1'!C163,"AAAAAF///9s=")</f>
        <v>#VALUE!</v>
      </c>
      <c r="HM4" t="e">
        <f>AND('Ark1'!D163,"AAAAAF///9w=")</f>
        <v>#VALUE!</v>
      </c>
      <c r="HN4" t="e">
        <f>AND('Ark1'!E163,"AAAAAF///90=")</f>
        <v>#VALUE!</v>
      </c>
      <c r="HO4">
        <f>IF('Ark1'!164:164,"AAAAAF///94=",0)</f>
        <v>0</v>
      </c>
      <c r="HP4" t="e">
        <f>AND('Ark1'!A164,"AAAAAF///98=")</f>
        <v>#VALUE!</v>
      </c>
      <c r="HQ4" t="e">
        <f>AND('Ark1'!B164,"AAAAAF///+A=")</f>
        <v>#VALUE!</v>
      </c>
      <c r="HR4" t="e">
        <f>AND('Ark1'!C164,"AAAAAF///+E=")</f>
        <v>#VALUE!</v>
      </c>
      <c r="HS4" t="e">
        <f>AND('Ark1'!D164,"AAAAAF///+I=")</f>
        <v>#VALUE!</v>
      </c>
      <c r="HT4" t="e">
        <f>AND('Ark1'!E164,"AAAAAF///+M=")</f>
        <v>#VALUE!</v>
      </c>
      <c r="HU4">
        <f>IF('Ark1'!165:165,"AAAAAF///+Q=",0)</f>
        <v>0</v>
      </c>
      <c r="HV4" t="e">
        <f>AND('Ark1'!A165,"AAAAAF///+U=")</f>
        <v>#VALUE!</v>
      </c>
      <c r="HW4" t="e">
        <f>AND('Ark1'!B165,"AAAAAF///+Y=")</f>
        <v>#VALUE!</v>
      </c>
      <c r="HX4" t="e">
        <f>AND('Ark1'!C165,"AAAAAF///+c=")</f>
        <v>#VALUE!</v>
      </c>
      <c r="HY4" t="e">
        <f>AND('Ark1'!D165,"AAAAAF///+g=")</f>
        <v>#VALUE!</v>
      </c>
      <c r="HZ4" t="e">
        <f>AND('Ark1'!E165,"AAAAAF///+k=")</f>
        <v>#VALUE!</v>
      </c>
      <c r="IA4">
        <f>IF('Ark1'!166:166,"AAAAAF///+o=",0)</f>
        <v>0</v>
      </c>
      <c r="IB4" t="e">
        <f>AND('Ark1'!A166,"AAAAAF///+s=")</f>
        <v>#VALUE!</v>
      </c>
      <c r="IC4" t="e">
        <f>AND('Ark1'!B166,"AAAAAF///+w=")</f>
        <v>#VALUE!</v>
      </c>
      <c r="ID4" t="e">
        <f>AND('Ark1'!C166,"AAAAAF///+0=")</f>
        <v>#VALUE!</v>
      </c>
      <c r="IE4" t="e">
        <f>AND('Ark1'!D166,"AAAAAF///+4=")</f>
        <v>#VALUE!</v>
      </c>
      <c r="IF4" t="e">
        <f>AND('Ark1'!E166,"AAAAAF///+8=")</f>
        <v>#VALUE!</v>
      </c>
      <c r="IG4">
        <f>IF('Ark1'!167:167,"AAAAAF////A=",0)</f>
        <v>0</v>
      </c>
      <c r="IH4" t="e">
        <f>AND('Ark1'!A167,"AAAAAF////E=")</f>
        <v>#VALUE!</v>
      </c>
      <c r="II4" t="e">
        <f>AND('Ark1'!B167,"AAAAAF////I=")</f>
        <v>#VALUE!</v>
      </c>
      <c r="IJ4" t="e">
        <f>AND('Ark1'!C167,"AAAAAF////M=")</f>
        <v>#VALUE!</v>
      </c>
      <c r="IK4" t="e">
        <f>AND('Ark1'!D167,"AAAAAF////Q=")</f>
        <v>#VALUE!</v>
      </c>
      <c r="IL4" t="e">
        <f>AND('Ark1'!E167,"AAAAAF////U=")</f>
        <v>#VALUE!</v>
      </c>
      <c r="IM4">
        <f>IF('Ark1'!168:168,"AAAAAF////Y=",0)</f>
        <v>0</v>
      </c>
      <c r="IN4" t="e">
        <f>AND('Ark1'!A168,"AAAAAF////c=")</f>
        <v>#VALUE!</v>
      </c>
      <c r="IO4" t="e">
        <f>AND('Ark1'!B168,"AAAAAF////g=")</f>
        <v>#VALUE!</v>
      </c>
      <c r="IP4" t="e">
        <f>AND('Ark1'!C168,"AAAAAF////k=")</f>
        <v>#VALUE!</v>
      </c>
      <c r="IQ4" t="e">
        <f>AND('Ark1'!D168,"AAAAAF////o=")</f>
        <v>#VALUE!</v>
      </c>
      <c r="IR4" t="e">
        <f>AND('Ark1'!E168,"AAAAAF////s=")</f>
        <v>#VALUE!</v>
      </c>
      <c r="IS4">
        <f>IF('Ark1'!169:169,"AAAAAF////w=",0)</f>
        <v>0</v>
      </c>
      <c r="IT4" t="e">
        <f>AND('Ark1'!A169,"AAAAAF////0=")</f>
        <v>#VALUE!</v>
      </c>
      <c r="IU4" t="e">
        <f>AND('Ark1'!B169,"AAAAAF////4=")</f>
        <v>#VALUE!</v>
      </c>
      <c r="IV4" t="e">
        <f>AND('Ark1'!C169,"AAAAAF////8=")</f>
        <v>#VALUE!</v>
      </c>
    </row>
    <row r="5" spans="1:256" x14ac:dyDescent="0.25">
      <c r="A5" t="e">
        <f>AND('Ark1'!D169,"AAAAAFJbuwA=")</f>
        <v>#VALUE!</v>
      </c>
      <c r="B5" t="e">
        <f>AND('Ark1'!E169,"AAAAAFJbuwE=")</f>
        <v>#VALUE!</v>
      </c>
      <c r="C5">
        <f>IF('Ark1'!170:170,"AAAAAFJbuwI=",0)</f>
        <v>0</v>
      </c>
      <c r="D5" t="e">
        <f>AND('Ark1'!A170,"AAAAAFJbuwM=")</f>
        <v>#VALUE!</v>
      </c>
      <c r="E5" t="e">
        <f>AND('Ark1'!B170,"AAAAAFJbuwQ=")</f>
        <v>#VALUE!</v>
      </c>
      <c r="F5" t="e">
        <f>AND('Ark1'!C170,"AAAAAFJbuwU=")</f>
        <v>#VALUE!</v>
      </c>
      <c r="G5" t="e">
        <f>AND('Ark1'!D170,"AAAAAFJbuwY=")</f>
        <v>#VALUE!</v>
      </c>
      <c r="H5" t="e">
        <f>AND('Ark1'!E170,"AAAAAFJbuwc=")</f>
        <v>#VALUE!</v>
      </c>
      <c r="I5">
        <f>IF('Ark1'!171:171,"AAAAAFJbuwg=",0)</f>
        <v>0</v>
      </c>
      <c r="J5" t="e">
        <f>AND('Ark1'!A171,"AAAAAFJbuwk=")</f>
        <v>#VALUE!</v>
      </c>
      <c r="K5" t="e">
        <f>AND('Ark1'!B171,"AAAAAFJbuwo=")</f>
        <v>#VALUE!</v>
      </c>
      <c r="L5" t="e">
        <f>AND('Ark1'!C171,"AAAAAFJbuws=")</f>
        <v>#VALUE!</v>
      </c>
      <c r="M5" t="e">
        <f>AND('Ark1'!D171,"AAAAAFJbuww=")</f>
        <v>#VALUE!</v>
      </c>
      <c r="N5" t="e">
        <f>AND('Ark1'!E171,"AAAAAFJbuw0=")</f>
        <v>#VALUE!</v>
      </c>
      <c r="O5">
        <f>IF('Ark1'!172:172,"AAAAAFJbuw4=",0)</f>
        <v>0</v>
      </c>
      <c r="P5" t="e">
        <f>AND('Ark1'!A172,"AAAAAFJbuw8=")</f>
        <v>#VALUE!</v>
      </c>
      <c r="Q5" t="e">
        <f>AND('Ark1'!B172,"AAAAAFJbuxA=")</f>
        <v>#VALUE!</v>
      </c>
      <c r="R5" t="e">
        <f>AND('Ark1'!C172,"AAAAAFJbuxE=")</f>
        <v>#VALUE!</v>
      </c>
      <c r="S5" t="e">
        <f>AND('Ark1'!D172,"AAAAAFJbuxI=")</f>
        <v>#VALUE!</v>
      </c>
      <c r="T5" t="e">
        <f>AND('Ark1'!E172,"AAAAAFJbuxM=")</f>
        <v>#VALUE!</v>
      </c>
      <c r="U5">
        <f>IF('Ark1'!173:173,"AAAAAFJbuxQ=",0)</f>
        <v>0</v>
      </c>
      <c r="V5" t="e">
        <f>AND('Ark1'!A173,"AAAAAFJbuxU=")</f>
        <v>#VALUE!</v>
      </c>
      <c r="W5" t="e">
        <f>AND('Ark1'!B173,"AAAAAFJbuxY=")</f>
        <v>#VALUE!</v>
      </c>
      <c r="X5" t="e">
        <f>AND('Ark1'!C173,"AAAAAFJbuxc=")</f>
        <v>#VALUE!</v>
      </c>
      <c r="Y5" t="e">
        <f>AND('Ark1'!D173,"AAAAAFJbuxg=")</f>
        <v>#VALUE!</v>
      </c>
      <c r="Z5" t="e">
        <f>AND('Ark1'!E173,"AAAAAFJbuxk=")</f>
        <v>#VALUE!</v>
      </c>
      <c r="AA5">
        <f>IF('Ark1'!174:174,"AAAAAFJbuxo=",0)</f>
        <v>0</v>
      </c>
      <c r="AB5" t="e">
        <f>AND('Ark1'!A174,"AAAAAFJbuxs=")</f>
        <v>#VALUE!</v>
      </c>
      <c r="AC5" t="e">
        <f>AND('Ark1'!B174,"AAAAAFJbuxw=")</f>
        <v>#VALUE!</v>
      </c>
      <c r="AD5" t="e">
        <f>AND('Ark1'!C174,"AAAAAFJbux0=")</f>
        <v>#VALUE!</v>
      </c>
      <c r="AE5" t="e">
        <f>AND('Ark1'!D174,"AAAAAFJbux4=")</f>
        <v>#VALUE!</v>
      </c>
      <c r="AF5" t="e">
        <f>AND('Ark1'!E174,"AAAAAFJbux8=")</f>
        <v>#VALUE!</v>
      </c>
      <c r="AG5">
        <f>IF('Ark1'!175:175,"AAAAAFJbuyA=",0)</f>
        <v>0</v>
      </c>
      <c r="AH5" t="e">
        <f>AND('Ark1'!A175,"AAAAAFJbuyE=")</f>
        <v>#VALUE!</v>
      </c>
      <c r="AI5" t="e">
        <f>AND('Ark1'!B175,"AAAAAFJbuyI=")</f>
        <v>#VALUE!</v>
      </c>
      <c r="AJ5" t="e">
        <f>AND('Ark1'!C175,"AAAAAFJbuyM=")</f>
        <v>#VALUE!</v>
      </c>
      <c r="AK5" t="e">
        <f>AND('Ark1'!D175,"AAAAAFJbuyQ=")</f>
        <v>#VALUE!</v>
      </c>
      <c r="AL5" t="e">
        <f>AND('Ark1'!E175,"AAAAAFJbuyU=")</f>
        <v>#VALUE!</v>
      </c>
      <c r="AM5">
        <f>IF('Ark1'!176:176,"AAAAAFJbuyY=",0)</f>
        <v>0</v>
      </c>
      <c r="AN5" t="e">
        <f>AND('Ark1'!A176,"AAAAAFJbuyc=")</f>
        <v>#VALUE!</v>
      </c>
      <c r="AO5" t="e">
        <f>AND('Ark1'!B176,"AAAAAFJbuyg=")</f>
        <v>#VALUE!</v>
      </c>
      <c r="AP5" t="e">
        <f>AND('Ark1'!C176,"AAAAAFJbuyk=")</f>
        <v>#VALUE!</v>
      </c>
      <c r="AQ5" t="e">
        <f>AND('Ark1'!D176,"AAAAAFJbuyo=")</f>
        <v>#VALUE!</v>
      </c>
      <c r="AR5" t="e">
        <f>AND('Ark1'!E176,"AAAAAFJbuys=")</f>
        <v>#VALUE!</v>
      </c>
      <c r="AS5">
        <f>IF('Ark1'!177:177,"AAAAAFJbuyw=",0)</f>
        <v>0</v>
      </c>
      <c r="AT5" t="e">
        <f>AND('Ark1'!A177,"AAAAAFJbuy0=")</f>
        <v>#VALUE!</v>
      </c>
      <c r="AU5" t="e">
        <f>AND('Ark1'!B177,"AAAAAFJbuy4=")</f>
        <v>#VALUE!</v>
      </c>
      <c r="AV5" t="e">
        <f>AND('Ark1'!C177,"AAAAAFJbuy8=")</f>
        <v>#VALUE!</v>
      </c>
      <c r="AW5" t="e">
        <f>AND('Ark1'!D177,"AAAAAFJbuzA=")</f>
        <v>#VALUE!</v>
      </c>
      <c r="AX5" t="e">
        <f>AND('Ark1'!E177,"AAAAAFJbuzE=")</f>
        <v>#VALUE!</v>
      </c>
      <c r="AY5">
        <f>IF('Ark1'!178:178,"AAAAAFJbuzI=",0)</f>
        <v>0</v>
      </c>
      <c r="AZ5" t="e">
        <f>AND('Ark1'!#REF!,"AAAAAFJbuzM=")</f>
        <v>#REF!</v>
      </c>
      <c r="BA5" t="e">
        <f>AND('Ark1'!#REF!,"AAAAAFJbuzQ=")</f>
        <v>#REF!</v>
      </c>
      <c r="BB5" t="e">
        <f>AND('Ark1'!#REF!,"AAAAAFJbuzU=")</f>
        <v>#REF!</v>
      </c>
      <c r="BC5" t="e">
        <f>AND('Ark1'!#REF!,"AAAAAFJbuzY=")</f>
        <v>#REF!</v>
      </c>
      <c r="BD5" t="e">
        <f>AND('Ark1'!E178,"AAAAAFJbuzc=")</f>
        <v>#VALUE!</v>
      </c>
      <c r="BE5">
        <f>IF('Ark1'!179:179,"AAAAAFJbuzg=",0)</f>
        <v>0</v>
      </c>
      <c r="BF5" t="e">
        <f>AND('Ark1'!A178,"AAAAAFJbuzk=")</f>
        <v>#VALUE!</v>
      </c>
      <c r="BG5" t="e">
        <f>AND('Ark1'!B178,"AAAAAFJbuzo=")</f>
        <v>#VALUE!</v>
      </c>
      <c r="BH5" t="e">
        <f>AND('Ark1'!C178,"AAAAAFJbuzs=")</f>
        <v>#VALUE!</v>
      </c>
      <c r="BI5" t="e">
        <f>AND('Ark1'!D178,"AAAAAFJbuzw=")</f>
        <v>#VALUE!</v>
      </c>
      <c r="BJ5" t="e">
        <f>AND('Ark1'!E179,"AAAAAFJbuz0=")</f>
        <v>#VALUE!</v>
      </c>
      <c r="BK5">
        <f>IF('Ark1'!180:180,"AAAAAFJbuz4=",0)</f>
        <v>0</v>
      </c>
      <c r="BL5" t="e">
        <f>AND('Ark1'!A179,"AAAAAFJbuz8=")</f>
        <v>#VALUE!</v>
      </c>
      <c r="BM5" t="e">
        <f>AND('Ark1'!B179,"AAAAAFJbu0A=")</f>
        <v>#VALUE!</v>
      </c>
      <c r="BN5" t="e">
        <f>AND('Ark1'!C179,"AAAAAFJbu0E=")</f>
        <v>#VALUE!</v>
      </c>
      <c r="BO5" t="e">
        <f>AND('Ark1'!D179,"AAAAAFJbu0I=")</f>
        <v>#VALUE!</v>
      </c>
      <c r="BP5" t="e">
        <f>AND('Ark1'!E180,"AAAAAFJbu0M=")</f>
        <v>#VALUE!</v>
      </c>
      <c r="BQ5">
        <f>IF('Ark1'!181:181,"AAAAAFJbu0Q=",0)</f>
        <v>0</v>
      </c>
      <c r="BR5" t="e">
        <f>AND('Ark1'!A180,"AAAAAFJbu0U=")</f>
        <v>#VALUE!</v>
      </c>
      <c r="BS5" t="e">
        <f>AND('Ark1'!B180,"AAAAAFJbu0Y=")</f>
        <v>#VALUE!</v>
      </c>
      <c r="BT5" t="e">
        <f>AND('Ark1'!C180,"AAAAAFJbu0c=")</f>
        <v>#VALUE!</v>
      </c>
      <c r="BU5" t="e">
        <f>AND('Ark1'!D180,"AAAAAFJbu0g=")</f>
        <v>#VALUE!</v>
      </c>
      <c r="BV5" t="e">
        <f>AND('Ark1'!E181,"AAAAAFJbu0k=")</f>
        <v>#VALUE!</v>
      </c>
      <c r="BW5">
        <f>IF('Ark1'!182:182,"AAAAAFJbu0o=",0)</f>
        <v>0</v>
      </c>
      <c r="BX5" t="e">
        <f>AND('Ark1'!A181,"AAAAAFJbu0s=")</f>
        <v>#VALUE!</v>
      </c>
      <c r="BY5" t="e">
        <f>AND('Ark1'!B181,"AAAAAFJbu0w=")</f>
        <v>#VALUE!</v>
      </c>
      <c r="BZ5" t="e">
        <f>AND('Ark1'!C181,"AAAAAFJbu00=")</f>
        <v>#VALUE!</v>
      </c>
      <c r="CA5" t="e">
        <f>AND('Ark1'!D181,"AAAAAFJbu04=")</f>
        <v>#VALUE!</v>
      </c>
      <c r="CB5" t="e">
        <f>AND('Ark1'!E182,"AAAAAFJbu08=")</f>
        <v>#VALUE!</v>
      </c>
      <c r="CC5">
        <f>IF('Ark1'!183:183,"AAAAAFJbu1A=",0)</f>
        <v>0</v>
      </c>
      <c r="CD5" t="e">
        <f>AND('Ark1'!A182,"AAAAAFJbu1E=")</f>
        <v>#VALUE!</v>
      </c>
      <c r="CE5" t="e">
        <f>AND('Ark1'!B182,"AAAAAFJbu1I=")</f>
        <v>#VALUE!</v>
      </c>
      <c r="CF5" t="e">
        <f>AND('Ark1'!C182,"AAAAAFJbu1M=")</f>
        <v>#VALUE!</v>
      </c>
      <c r="CG5" t="e">
        <f>AND('Ark1'!D182,"AAAAAFJbu1Q=")</f>
        <v>#VALUE!</v>
      </c>
      <c r="CH5" t="e">
        <f>AND('Ark1'!E183,"AAAAAFJbu1U=")</f>
        <v>#VALUE!</v>
      </c>
      <c r="CI5">
        <f>IF('Ark1'!184:184,"AAAAAFJbu1Y=",0)</f>
        <v>0</v>
      </c>
      <c r="CJ5" t="e">
        <f>AND('Ark1'!A183,"AAAAAFJbu1c=")</f>
        <v>#VALUE!</v>
      </c>
      <c r="CK5" t="e">
        <f>AND('Ark1'!B183,"AAAAAFJbu1g=")</f>
        <v>#VALUE!</v>
      </c>
      <c r="CL5" t="e">
        <f>AND('Ark1'!C183,"AAAAAFJbu1k=")</f>
        <v>#VALUE!</v>
      </c>
      <c r="CM5" t="e">
        <f>AND('Ark1'!D183,"AAAAAFJbu1o=")</f>
        <v>#VALUE!</v>
      </c>
      <c r="CN5" t="e">
        <f>AND('Ark1'!E184,"AAAAAFJbu1s=")</f>
        <v>#VALUE!</v>
      </c>
      <c r="CO5">
        <f>IF('Ark1'!185:185,"AAAAAFJbu1w=",0)</f>
        <v>0</v>
      </c>
      <c r="CP5" t="e">
        <f>AND('Ark1'!A184,"AAAAAFJbu10=")</f>
        <v>#VALUE!</v>
      </c>
      <c r="CQ5" t="e">
        <f>AND('Ark1'!B184,"AAAAAFJbu14=")</f>
        <v>#VALUE!</v>
      </c>
      <c r="CR5" t="e">
        <f>AND('Ark1'!C184,"AAAAAFJbu18=")</f>
        <v>#VALUE!</v>
      </c>
      <c r="CS5" t="e">
        <f>AND('Ark1'!D184,"AAAAAFJbu2A=")</f>
        <v>#VALUE!</v>
      </c>
      <c r="CT5" t="e">
        <f>AND('Ark1'!E185,"AAAAAFJbu2E=")</f>
        <v>#VALUE!</v>
      </c>
      <c r="CU5">
        <f>IF('Ark1'!186:186,"AAAAAFJbu2I=",0)</f>
        <v>0</v>
      </c>
      <c r="CV5" t="e">
        <f>AND('Ark1'!A185,"AAAAAFJbu2M=")</f>
        <v>#VALUE!</v>
      </c>
      <c r="CW5" t="e">
        <f>AND('Ark1'!B185,"AAAAAFJbu2Q=")</f>
        <v>#VALUE!</v>
      </c>
      <c r="CX5" t="e">
        <f>AND('Ark1'!C185,"AAAAAFJbu2U=")</f>
        <v>#VALUE!</v>
      </c>
      <c r="CY5" t="e">
        <f>AND('Ark1'!D185,"AAAAAFJbu2Y=")</f>
        <v>#VALUE!</v>
      </c>
      <c r="CZ5" t="e">
        <f>AND('Ark1'!E186,"AAAAAFJbu2c=")</f>
        <v>#VALUE!</v>
      </c>
      <c r="DA5">
        <f>IF('Ark1'!187:187,"AAAAAFJbu2g=",0)</f>
        <v>0</v>
      </c>
      <c r="DB5" t="e">
        <f>AND('Ark1'!A186,"AAAAAFJbu2k=")</f>
        <v>#VALUE!</v>
      </c>
      <c r="DC5" t="e">
        <f>AND('Ark1'!B186,"AAAAAFJbu2o=")</f>
        <v>#VALUE!</v>
      </c>
      <c r="DD5" t="e">
        <f>AND('Ark1'!C186,"AAAAAFJbu2s=")</f>
        <v>#VALUE!</v>
      </c>
      <c r="DE5" t="e">
        <f>AND('Ark1'!D186,"AAAAAFJbu2w=")</f>
        <v>#VALUE!</v>
      </c>
      <c r="DF5" t="e">
        <f>AND('Ark1'!E187,"AAAAAFJbu20=")</f>
        <v>#VALUE!</v>
      </c>
      <c r="DG5">
        <f>IF('Ark1'!188:188,"AAAAAFJbu24=",0)</f>
        <v>0</v>
      </c>
      <c r="DH5" t="e">
        <f>AND('Ark1'!A187,"AAAAAFJbu28=")</f>
        <v>#VALUE!</v>
      </c>
      <c r="DI5" t="e">
        <f>AND('Ark1'!B187,"AAAAAFJbu3A=")</f>
        <v>#VALUE!</v>
      </c>
      <c r="DJ5" t="e">
        <f>AND('Ark1'!C187,"AAAAAFJbu3E=")</f>
        <v>#VALUE!</v>
      </c>
      <c r="DK5" t="e">
        <f>AND('Ark1'!D187,"AAAAAFJbu3I=")</f>
        <v>#VALUE!</v>
      </c>
      <c r="DL5" t="e">
        <f>AND('Ark1'!E188,"AAAAAFJbu3M=")</f>
        <v>#VALUE!</v>
      </c>
      <c r="DM5">
        <f>IF('Ark1'!189:189,"AAAAAFJbu3Q=",0)</f>
        <v>0</v>
      </c>
      <c r="DN5" t="e">
        <f>AND('Ark1'!A188,"AAAAAFJbu3U=")</f>
        <v>#VALUE!</v>
      </c>
      <c r="DO5" t="e">
        <f>AND('Ark1'!B188,"AAAAAFJbu3Y=")</f>
        <v>#VALUE!</v>
      </c>
      <c r="DP5" t="e">
        <f>AND('Ark1'!C188,"AAAAAFJbu3c=")</f>
        <v>#VALUE!</v>
      </c>
      <c r="DQ5" t="e">
        <f>AND('Ark1'!D188,"AAAAAFJbu3g=")</f>
        <v>#VALUE!</v>
      </c>
      <c r="DR5" t="e">
        <f>AND('Ark1'!E189,"AAAAAFJbu3k=")</f>
        <v>#VALUE!</v>
      </c>
      <c r="DS5">
        <f>IF('Ark1'!190:190,"AAAAAFJbu3o=",0)</f>
        <v>0</v>
      </c>
      <c r="DT5" t="e">
        <f>AND('Ark1'!A189,"AAAAAFJbu3s=")</f>
        <v>#VALUE!</v>
      </c>
      <c r="DU5" t="e">
        <f>AND('Ark1'!B189,"AAAAAFJbu3w=")</f>
        <v>#VALUE!</v>
      </c>
      <c r="DV5" t="e">
        <f>AND('Ark1'!C189,"AAAAAFJbu30=")</f>
        <v>#VALUE!</v>
      </c>
      <c r="DW5" t="e">
        <f>AND('Ark1'!D189,"AAAAAFJbu34=")</f>
        <v>#VALUE!</v>
      </c>
      <c r="DX5" t="e">
        <f>AND('Ark1'!E190,"AAAAAFJbu38=")</f>
        <v>#VALUE!</v>
      </c>
      <c r="DY5">
        <f>IF('Ark1'!191:191,"AAAAAFJbu4A=",0)</f>
        <v>0</v>
      </c>
      <c r="DZ5" t="e">
        <f>AND('Ark1'!A190,"AAAAAFJbu4E=")</f>
        <v>#VALUE!</v>
      </c>
      <c r="EA5" t="e">
        <f>AND('Ark1'!B190,"AAAAAFJbu4I=")</f>
        <v>#VALUE!</v>
      </c>
      <c r="EB5" t="e">
        <f>AND('Ark1'!C190,"AAAAAFJbu4M=")</f>
        <v>#VALUE!</v>
      </c>
      <c r="EC5" t="e">
        <f>AND('Ark1'!D190,"AAAAAFJbu4Q=")</f>
        <v>#VALUE!</v>
      </c>
      <c r="ED5" t="e">
        <f>AND('Ark1'!E191,"AAAAAFJbu4U=")</f>
        <v>#VALUE!</v>
      </c>
      <c r="EE5">
        <f>IF('Ark1'!192:192,"AAAAAFJbu4Y=",0)</f>
        <v>0</v>
      </c>
      <c r="EF5" t="e">
        <f>AND('Ark1'!A191,"AAAAAFJbu4c=")</f>
        <v>#VALUE!</v>
      </c>
      <c r="EG5" t="e">
        <f>AND('Ark1'!B191,"AAAAAFJbu4g=")</f>
        <v>#VALUE!</v>
      </c>
      <c r="EH5" t="e">
        <f>AND('Ark1'!C191,"AAAAAFJbu4k=")</f>
        <v>#VALUE!</v>
      </c>
      <c r="EI5" t="e">
        <f>AND('Ark1'!D191,"AAAAAFJbu4o=")</f>
        <v>#VALUE!</v>
      </c>
      <c r="EJ5" t="e">
        <f>AND('Ark1'!E192,"AAAAAFJbu4s=")</f>
        <v>#VALUE!</v>
      </c>
      <c r="EK5">
        <f>IF('Ark1'!193:193,"AAAAAFJbu4w=",0)</f>
        <v>0</v>
      </c>
      <c r="EL5" t="e">
        <f>AND('Ark1'!A192,"AAAAAFJbu40=")</f>
        <v>#VALUE!</v>
      </c>
      <c r="EM5" t="e">
        <f>AND('Ark1'!B192,"AAAAAFJbu44=")</f>
        <v>#VALUE!</v>
      </c>
      <c r="EN5" t="e">
        <f>AND('Ark1'!C192,"AAAAAFJbu48=")</f>
        <v>#VALUE!</v>
      </c>
      <c r="EO5" t="e">
        <f>AND('Ark1'!D192,"AAAAAFJbu5A=")</f>
        <v>#VALUE!</v>
      </c>
      <c r="EP5" t="e">
        <f>AND('Ark1'!E193,"AAAAAFJbu5E=")</f>
        <v>#VALUE!</v>
      </c>
      <c r="EQ5">
        <f>IF('Ark1'!194:194,"AAAAAFJbu5I=",0)</f>
        <v>0</v>
      </c>
      <c r="ER5" t="e">
        <f>AND('Ark1'!A193,"AAAAAFJbu5M=")</f>
        <v>#VALUE!</v>
      </c>
      <c r="ES5" t="e">
        <f>AND('Ark1'!B193,"AAAAAFJbu5Q=")</f>
        <v>#VALUE!</v>
      </c>
      <c r="ET5" t="e">
        <f>AND('Ark1'!C193,"AAAAAFJbu5U=")</f>
        <v>#VALUE!</v>
      </c>
      <c r="EU5" t="e">
        <f>AND('Ark1'!D193,"AAAAAFJbu5Y=")</f>
        <v>#VALUE!</v>
      </c>
      <c r="EV5" t="e">
        <f>AND('Ark1'!E194,"AAAAAFJbu5c=")</f>
        <v>#VALUE!</v>
      </c>
      <c r="EW5">
        <f>IF('Ark1'!195:195,"AAAAAFJbu5g=",0)</f>
        <v>0</v>
      </c>
      <c r="EX5" t="e">
        <f>AND('Ark1'!A194,"AAAAAFJbu5k=")</f>
        <v>#VALUE!</v>
      </c>
      <c r="EY5" t="e">
        <f>AND('Ark1'!B194,"AAAAAFJbu5o=")</f>
        <v>#VALUE!</v>
      </c>
      <c r="EZ5" t="e">
        <f>AND('Ark1'!C194,"AAAAAFJbu5s=")</f>
        <v>#VALUE!</v>
      </c>
      <c r="FA5" t="e">
        <f>AND('Ark1'!D194,"AAAAAFJbu5w=")</f>
        <v>#VALUE!</v>
      </c>
      <c r="FB5" t="e">
        <f>AND('Ark1'!E195,"AAAAAFJbu50=")</f>
        <v>#VALUE!</v>
      </c>
      <c r="FC5">
        <f>IF('Ark1'!196:196,"AAAAAFJbu54=",0)</f>
        <v>0</v>
      </c>
      <c r="FD5" t="e">
        <f>AND('Ark1'!A195,"AAAAAFJbu58=")</f>
        <v>#VALUE!</v>
      </c>
      <c r="FE5" t="e">
        <f>AND('Ark1'!B195,"AAAAAFJbu6A=")</f>
        <v>#VALUE!</v>
      </c>
      <c r="FF5" t="e">
        <f>AND('Ark1'!C195,"AAAAAFJbu6E=")</f>
        <v>#VALUE!</v>
      </c>
      <c r="FG5" t="e">
        <f>AND('Ark1'!D195,"AAAAAFJbu6I=")</f>
        <v>#VALUE!</v>
      </c>
      <c r="FH5" t="e">
        <f>AND('Ark1'!E196,"AAAAAFJbu6M=")</f>
        <v>#VALUE!</v>
      </c>
      <c r="FI5">
        <f>IF('Ark1'!197:197,"AAAAAFJbu6Q=",0)</f>
        <v>0</v>
      </c>
      <c r="FJ5" t="e">
        <f>AND('Ark1'!A196,"AAAAAFJbu6U=")</f>
        <v>#VALUE!</v>
      </c>
      <c r="FK5" t="e">
        <f>AND('Ark1'!B196,"AAAAAFJbu6Y=")</f>
        <v>#VALUE!</v>
      </c>
      <c r="FL5" t="e">
        <f>AND('Ark1'!C196,"AAAAAFJbu6c=")</f>
        <v>#VALUE!</v>
      </c>
      <c r="FM5" t="e">
        <f>AND('Ark1'!D196,"AAAAAFJbu6g=")</f>
        <v>#VALUE!</v>
      </c>
      <c r="FN5" t="e">
        <f>AND('Ark1'!E197,"AAAAAFJbu6k=")</f>
        <v>#VALUE!</v>
      </c>
      <c r="FO5">
        <f>IF('Ark1'!198:198,"AAAAAFJbu6o=",0)</f>
        <v>0</v>
      </c>
      <c r="FP5" t="e">
        <f>AND('Ark1'!A197,"AAAAAFJbu6s=")</f>
        <v>#VALUE!</v>
      </c>
      <c r="FQ5" t="e">
        <f>AND('Ark1'!B197,"AAAAAFJbu6w=")</f>
        <v>#VALUE!</v>
      </c>
      <c r="FR5" t="e">
        <f>AND('Ark1'!C197,"AAAAAFJbu60=")</f>
        <v>#VALUE!</v>
      </c>
      <c r="FS5" t="e">
        <f>AND('Ark1'!D197,"AAAAAFJbu64=")</f>
        <v>#VALUE!</v>
      </c>
      <c r="FT5" t="e">
        <f>AND('Ark1'!E198,"AAAAAFJbu68=")</f>
        <v>#VALUE!</v>
      </c>
      <c r="FU5">
        <f>IF('Ark1'!199:199,"AAAAAFJbu7A=",0)</f>
        <v>0</v>
      </c>
      <c r="FV5" t="e">
        <f>AND('Ark1'!A198,"AAAAAFJbu7E=")</f>
        <v>#VALUE!</v>
      </c>
      <c r="FW5" t="e">
        <f>AND('Ark1'!B198,"AAAAAFJbu7I=")</f>
        <v>#VALUE!</v>
      </c>
      <c r="FX5" t="e">
        <f>AND('Ark1'!C198,"AAAAAFJbu7M=")</f>
        <v>#VALUE!</v>
      </c>
      <c r="FY5" t="e">
        <f>AND('Ark1'!D198,"AAAAAFJbu7Q=")</f>
        <v>#VALUE!</v>
      </c>
      <c r="FZ5" t="e">
        <f>AND('Ark1'!E199,"AAAAAFJbu7U=")</f>
        <v>#VALUE!</v>
      </c>
      <c r="GA5">
        <f>IF('Ark1'!200:200,"AAAAAFJbu7Y=",0)</f>
        <v>0</v>
      </c>
      <c r="GB5" t="e">
        <f>AND('Ark1'!A199,"AAAAAFJbu7c=")</f>
        <v>#VALUE!</v>
      </c>
      <c r="GC5" t="e">
        <f>AND('Ark1'!B199,"AAAAAFJbu7g=")</f>
        <v>#VALUE!</v>
      </c>
      <c r="GD5" t="e">
        <f>AND('Ark1'!C199,"AAAAAFJbu7k=")</f>
        <v>#VALUE!</v>
      </c>
      <c r="GE5" t="e">
        <f>AND('Ark1'!D199,"AAAAAFJbu7o=")</f>
        <v>#VALUE!</v>
      </c>
      <c r="GF5" t="e">
        <f>AND('Ark1'!E200,"AAAAAFJbu7s=")</f>
        <v>#VALUE!</v>
      </c>
      <c r="GG5">
        <f>IF('Ark1'!201:201,"AAAAAFJbu7w=",0)</f>
        <v>0</v>
      </c>
      <c r="GH5" t="e">
        <f>AND('Ark1'!A200,"AAAAAFJbu70=")</f>
        <v>#VALUE!</v>
      </c>
      <c r="GI5" t="e">
        <f>AND('Ark1'!B200,"AAAAAFJbu74=")</f>
        <v>#VALUE!</v>
      </c>
      <c r="GJ5" t="e">
        <f>AND('Ark1'!C200,"AAAAAFJbu78=")</f>
        <v>#VALUE!</v>
      </c>
      <c r="GK5" t="e">
        <f>AND('Ark1'!D200,"AAAAAFJbu8A=")</f>
        <v>#VALUE!</v>
      </c>
      <c r="GL5" t="e">
        <f>AND('Ark1'!E201,"AAAAAFJbu8E=")</f>
        <v>#VALUE!</v>
      </c>
      <c r="GM5">
        <f>IF('Ark1'!202:202,"AAAAAFJbu8I=",0)</f>
        <v>0</v>
      </c>
      <c r="GN5" t="e">
        <f>AND('Ark1'!A201,"AAAAAFJbu8M=")</f>
        <v>#VALUE!</v>
      </c>
      <c r="GO5" t="e">
        <f>AND('Ark1'!B201,"AAAAAFJbu8Q=")</f>
        <v>#VALUE!</v>
      </c>
      <c r="GP5" t="e">
        <f>AND('Ark1'!C201,"AAAAAFJbu8U=")</f>
        <v>#VALUE!</v>
      </c>
      <c r="GQ5" t="e">
        <f>AND('Ark1'!D201,"AAAAAFJbu8Y=")</f>
        <v>#VALUE!</v>
      </c>
      <c r="GR5" t="e">
        <f>AND('Ark1'!E202,"AAAAAFJbu8c=")</f>
        <v>#VALUE!</v>
      </c>
      <c r="GS5">
        <f>IF('Ark1'!203:203,"AAAAAFJbu8g=",0)</f>
        <v>0</v>
      </c>
      <c r="GT5" t="e">
        <f>AND('Ark1'!A202,"AAAAAFJbu8k=")</f>
        <v>#VALUE!</v>
      </c>
      <c r="GU5" t="e">
        <f>AND('Ark1'!B202,"AAAAAFJbu8o=")</f>
        <v>#VALUE!</v>
      </c>
      <c r="GV5" t="e">
        <f>AND('Ark1'!C202,"AAAAAFJbu8s=")</f>
        <v>#VALUE!</v>
      </c>
      <c r="GW5" t="e">
        <f>AND('Ark1'!D202,"AAAAAFJbu8w=")</f>
        <v>#VALUE!</v>
      </c>
      <c r="GX5" t="e">
        <f>AND('Ark1'!E203,"AAAAAFJbu80=")</f>
        <v>#VALUE!</v>
      </c>
      <c r="GY5">
        <f>IF('Ark1'!204:204,"AAAAAFJbu84=",0)</f>
        <v>0</v>
      </c>
      <c r="GZ5" t="e">
        <f>AND('Ark1'!A203,"AAAAAFJbu88=")</f>
        <v>#VALUE!</v>
      </c>
      <c r="HA5" t="e">
        <f>AND('Ark1'!B203,"AAAAAFJbu9A=")</f>
        <v>#VALUE!</v>
      </c>
      <c r="HB5" t="e">
        <f>AND('Ark1'!C203,"AAAAAFJbu9E=")</f>
        <v>#VALUE!</v>
      </c>
      <c r="HC5" t="e">
        <f>AND('Ark1'!D203,"AAAAAFJbu9I=")</f>
        <v>#VALUE!</v>
      </c>
      <c r="HD5" t="e">
        <f>AND('Ark1'!E204,"AAAAAFJbu9M=")</f>
        <v>#VALUE!</v>
      </c>
      <c r="HE5">
        <f>IF('Ark1'!205:205,"AAAAAFJbu9Q=",0)</f>
        <v>0</v>
      </c>
      <c r="HF5" t="e">
        <f>AND('Ark1'!A204,"AAAAAFJbu9U=")</f>
        <v>#VALUE!</v>
      </c>
      <c r="HG5" t="e">
        <f>AND('Ark1'!B204,"AAAAAFJbu9Y=")</f>
        <v>#VALUE!</v>
      </c>
      <c r="HH5" t="e">
        <f>AND('Ark1'!C204,"AAAAAFJbu9c=")</f>
        <v>#VALUE!</v>
      </c>
      <c r="HI5" t="e">
        <f>AND('Ark1'!D204,"AAAAAFJbu9g=")</f>
        <v>#VALUE!</v>
      </c>
      <c r="HJ5" t="e">
        <f>AND('Ark1'!E205,"AAAAAFJbu9k=")</f>
        <v>#VALUE!</v>
      </c>
      <c r="HK5">
        <f>IF('Ark1'!206:206,"AAAAAFJbu9o=",0)</f>
        <v>0</v>
      </c>
      <c r="HL5" t="e">
        <f>AND('Ark1'!A205,"AAAAAFJbu9s=")</f>
        <v>#VALUE!</v>
      </c>
      <c r="HM5" t="e">
        <f>AND('Ark1'!B205,"AAAAAFJbu9w=")</f>
        <v>#VALUE!</v>
      </c>
      <c r="HN5" t="e">
        <f>AND('Ark1'!C205,"AAAAAFJbu90=")</f>
        <v>#VALUE!</v>
      </c>
      <c r="HO5" t="e">
        <f>AND('Ark1'!D205,"AAAAAFJbu94=")</f>
        <v>#VALUE!</v>
      </c>
      <c r="HP5" t="e">
        <f>AND('Ark1'!E206,"AAAAAFJbu98=")</f>
        <v>#VALUE!</v>
      </c>
      <c r="HQ5">
        <f>IF('Ark1'!207:207,"AAAAAFJbu+A=",0)</f>
        <v>0</v>
      </c>
      <c r="HR5" t="e">
        <f>AND('Ark1'!A206,"AAAAAFJbu+E=")</f>
        <v>#VALUE!</v>
      </c>
      <c r="HS5" t="e">
        <f>AND('Ark1'!B206,"AAAAAFJbu+I=")</f>
        <v>#VALUE!</v>
      </c>
      <c r="HT5" t="e">
        <f>AND('Ark1'!C206,"AAAAAFJbu+M=")</f>
        <v>#VALUE!</v>
      </c>
      <c r="HU5" t="e">
        <f>AND('Ark1'!D206,"AAAAAFJbu+Q=")</f>
        <v>#VALUE!</v>
      </c>
      <c r="HV5" t="e">
        <f>AND('Ark1'!E207,"AAAAAFJbu+U=")</f>
        <v>#VALUE!</v>
      </c>
      <c r="HW5">
        <f>IF('Ark1'!208:208,"AAAAAFJbu+Y=",0)</f>
        <v>0</v>
      </c>
      <c r="HX5" t="e">
        <f>AND('Ark1'!A207,"AAAAAFJbu+c=")</f>
        <v>#VALUE!</v>
      </c>
      <c r="HY5" t="e">
        <f>AND('Ark1'!B207,"AAAAAFJbu+g=")</f>
        <v>#VALUE!</v>
      </c>
      <c r="HZ5" t="e">
        <f>AND('Ark1'!C207,"AAAAAFJbu+k=")</f>
        <v>#VALUE!</v>
      </c>
      <c r="IA5" t="e">
        <f>AND('Ark1'!D207,"AAAAAFJbu+o=")</f>
        <v>#VALUE!</v>
      </c>
      <c r="IB5" t="e">
        <f>AND('Ark1'!E208,"AAAAAFJbu+s=")</f>
        <v>#VALUE!</v>
      </c>
      <c r="IC5">
        <f>IF('Ark1'!209:209,"AAAAAFJbu+w=",0)</f>
        <v>0</v>
      </c>
      <c r="ID5" t="e">
        <f>AND('Ark1'!A208,"AAAAAFJbu+0=")</f>
        <v>#VALUE!</v>
      </c>
      <c r="IE5" t="e">
        <f>AND('Ark1'!B208,"AAAAAFJbu+4=")</f>
        <v>#VALUE!</v>
      </c>
      <c r="IF5" t="e">
        <f>AND('Ark1'!C208,"AAAAAFJbu+8=")</f>
        <v>#VALUE!</v>
      </c>
      <c r="IG5" t="e">
        <f>AND('Ark1'!D208,"AAAAAFJbu/A=")</f>
        <v>#VALUE!</v>
      </c>
      <c r="IH5" t="e">
        <f>AND('Ark1'!E209,"AAAAAFJbu/E=")</f>
        <v>#VALUE!</v>
      </c>
      <c r="II5">
        <f>IF('Ark1'!210:210,"AAAAAFJbu/I=",0)</f>
        <v>0</v>
      </c>
      <c r="IJ5" t="e">
        <f>AND('Ark1'!A209,"AAAAAFJbu/M=")</f>
        <v>#VALUE!</v>
      </c>
      <c r="IK5" t="e">
        <f>AND('Ark1'!B209,"AAAAAFJbu/Q=")</f>
        <v>#VALUE!</v>
      </c>
      <c r="IL5" t="e">
        <f>AND('Ark1'!C209,"AAAAAFJbu/U=")</f>
        <v>#VALUE!</v>
      </c>
      <c r="IM5" t="e">
        <f>AND('Ark1'!D209,"AAAAAFJbu/Y=")</f>
        <v>#VALUE!</v>
      </c>
      <c r="IN5" t="e">
        <f>AND('Ark1'!E210,"AAAAAFJbu/c=")</f>
        <v>#VALUE!</v>
      </c>
      <c r="IO5">
        <f>IF('Ark1'!211:211,"AAAAAFJbu/g=",0)</f>
        <v>0</v>
      </c>
      <c r="IP5" t="e">
        <f>AND('Ark1'!A210,"AAAAAFJbu/k=")</f>
        <v>#VALUE!</v>
      </c>
      <c r="IQ5" t="e">
        <f>AND('Ark1'!B210,"AAAAAFJbu/o=")</f>
        <v>#VALUE!</v>
      </c>
      <c r="IR5" t="e">
        <f>AND('Ark1'!C210,"AAAAAFJbu/s=")</f>
        <v>#VALUE!</v>
      </c>
      <c r="IS5" t="e">
        <f>AND('Ark1'!D210,"AAAAAFJbu/w=")</f>
        <v>#VALUE!</v>
      </c>
      <c r="IT5" t="e">
        <f>AND('Ark1'!E211,"AAAAAFJbu/0=")</f>
        <v>#VALUE!</v>
      </c>
      <c r="IU5">
        <f>IF('Ark1'!212:212,"AAAAAFJbu/4=",0)</f>
        <v>0</v>
      </c>
      <c r="IV5" t="e">
        <f>AND('Ark1'!A211,"AAAAAFJbu/8=")</f>
        <v>#VALUE!</v>
      </c>
    </row>
    <row r="6" spans="1:256" x14ac:dyDescent="0.25">
      <c r="A6" t="e">
        <f>AND('Ark1'!B211,"AAAAAB//dwA=")</f>
        <v>#VALUE!</v>
      </c>
      <c r="B6" t="e">
        <f>AND('Ark1'!C211,"AAAAAB//dwE=")</f>
        <v>#VALUE!</v>
      </c>
      <c r="C6" t="e">
        <f>AND('Ark1'!D211,"AAAAAB//dwI=")</f>
        <v>#VALUE!</v>
      </c>
      <c r="D6" t="e">
        <f>AND('Ark1'!E212,"AAAAAB//dwM=")</f>
        <v>#VALUE!</v>
      </c>
      <c r="E6">
        <f>IF('Ark1'!213:213,"AAAAAB//dwQ=",0)</f>
        <v>0</v>
      </c>
      <c r="F6" t="e">
        <f>AND('Ark1'!A212,"AAAAAB//dwU=")</f>
        <v>#VALUE!</v>
      </c>
      <c r="G6" t="e">
        <f>AND('Ark1'!B212,"AAAAAB//dwY=")</f>
        <v>#VALUE!</v>
      </c>
      <c r="H6" t="e">
        <f>AND('Ark1'!C212,"AAAAAB//dwc=")</f>
        <v>#VALUE!</v>
      </c>
      <c r="I6" t="e">
        <f>AND('Ark1'!D212,"AAAAAB//dwg=")</f>
        <v>#VALUE!</v>
      </c>
      <c r="J6" t="e">
        <f>AND('Ark1'!E213,"AAAAAB//dwk=")</f>
        <v>#VALUE!</v>
      </c>
      <c r="K6">
        <f>IF('Ark1'!214:214,"AAAAAB//dwo=",0)</f>
        <v>0</v>
      </c>
      <c r="L6" t="e">
        <f>AND('Ark1'!A213,"AAAAAB//dws=")</f>
        <v>#VALUE!</v>
      </c>
      <c r="M6" t="e">
        <f>AND('Ark1'!B213,"AAAAAB//dww=")</f>
        <v>#VALUE!</v>
      </c>
      <c r="N6" t="e">
        <f>AND('Ark1'!C213,"AAAAAB//dw0=")</f>
        <v>#VALUE!</v>
      </c>
      <c r="O6" t="e">
        <f>AND('Ark1'!D213,"AAAAAB//dw4=")</f>
        <v>#VALUE!</v>
      </c>
      <c r="P6" t="e">
        <f>AND('Ark1'!E214,"AAAAAB//dw8=")</f>
        <v>#VALUE!</v>
      </c>
      <c r="Q6">
        <f>IF('Ark1'!215:215,"AAAAAB//dxA=",0)</f>
        <v>0</v>
      </c>
      <c r="R6" t="e">
        <f>AND('Ark1'!A214,"AAAAAB//dxE=")</f>
        <v>#VALUE!</v>
      </c>
      <c r="S6" t="e">
        <f>AND('Ark1'!B214,"AAAAAB//dxI=")</f>
        <v>#VALUE!</v>
      </c>
      <c r="T6" t="e">
        <f>AND('Ark1'!C214,"AAAAAB//dxM=")</f>
        <v>#VALUE!</v>
      </c>
      <c r="U6" t="e">
        <f>AND('Ark1'!D214,"AAAAAB//dxQ=")</f>
        <v>#VALUE!</v>
      </c>
      <c r="V6" t="e">
        <f>AND('Ark1'!E215,"AAAAAB//dxU=")</f>
        <v>#VALUE!</v>
      </c>
      <c r="W6">
        <f>IF('Ark1'!216:216,"AAAAAB//dxY=",0)</f>
        <v>0</v>
      </c>
      <c r="X6" t="e">
        <f>AND('Ark1'!A215,"AAAAAB//dxc=")</f>
        <v>#VALUE!</v>
      </c>
      <c r="Y6" t="e">
        <f>AND('Ark1'!B215,"AAAAAB//dxg=")</f>
        <v>#VALUE!</v>
      </c>
      <c r="Z6" t="e">
        <f>AND('Ark1'!C215,"AAAAAB//dxk=")</f>
        <v>#VALUE!</v>
      </c>
      <c r="AA6" t="e">
        <f>AND('Ark1'!D215,"AAAAAB//dxo=")</f>
        <v>#VALUE!</v>
      </c>
      <c r="AB6" t="e">
        <f>AND('Ark1'!E216,"AAAAAB//dxs=")</f>
        <v>#VALUE!</v>
      </c>
      <c r="AC6">
        <f>IF('Ark1'!217:217,"AAAAAB//dxw=",0)</f>
        <v>0</v>
      </c>
      <c r="AD6" t="e">
        <f>AND('Ark1'!A216,"AAAAAB//dx0=")</f>
        <v>#VALUE!</v>
      </c>
      <c r="AE6" t="e">
        <f>AND('Ark1'!B216,"AAAAAB//dx4=")</f>
        <v>#VALUE!</v>
      </c>
      <c r="AF6" t="e">
        <f>AND('Ark1'!C216,"AAAAAB//dx8=")</f>
        <v>#VALUE!</v>
      </c>
      <c r="AG6" t="e">
        <f>AND('Ark1'!D216,"AAAAAB//dyA=")</f>
        <v>#VALUE!</v>
      </c>
      <c r="AH6" t="e">
        <f>AND('Ark1'!E217,"AAAAAB//dyE=")</f>
        <v>#VALUE!</v>
      </c>
      <c r="AI6">
        <f>IF('Ark1'!218:218,"AAAAAB//dyI=",0)</f>
        <v>0</v>
      </c>
      <c r="AJ6" t="e">
        <f>AND('Ark1'!A217,"AAAAAB//dyM=")</f>
        <v>#VALUE!</v>
      </c>
      <c r="AK6" t="e">
        <f>AND('Ark1'!B217,"AAAAAB//dyQ=")</f>
        <v>#VALUE!</v>
      </c>
      <c r="AL6" t="e">
        <f>AND('Ark1'!C217,"AAAAAB//dyU=")</f>
        <v>#VALUE!</v>
      </c>
      <c r="AM6" t="e">
        <f>AND('Ark1'!D217,"AAAAAB//dyY=")</f>
        <v>#VALUE!</v>
      </c>
      <c r="AN6" t="e">
        <f>AND('Ark1'!E218,"AAAAAB//dyc=")</f>
        <v>#VALUE!</v>
      </c>
      <c r="AO6">
        <f>IF('Ark1'!219:219,"AAAAAB//dyg=",0)</f>
        <v>0</v>
      </c>
      <c r="AP6" t="e">
        <f>AND('Ark1'!A218,"AAAAAB//dyk=")</f>
        <v>#VALUE!</v>
      </c>
      <c r="AQ6" t="e">
        <f>AND('Ark1'!B218,"AAAAAB//dyo=")</f>
        <v>#VALUE!</v>
      </c>
      <c r="AR6" t="e">
        <f>AND('Ark1'!C218,"AAAAAB//dys=")</f>
        <v>#VALUE!</v>
      </c>
      <c r="AS6" t="e">
        <f>AND('Ark1'!D218,"AAAAAB//dyw=")</f>
        <v>#VALUE!</v>
      </c>
      <c r="AT6" t="e">
        <f>AND('Ark1'!E219,"AAAAAB//dy0=")</f>
        <v>#VALUE!</v>
      </c>
      <c r="AU6">
        <f>IF('Ark1'!220:220,"AAAAAB//dy4=",0)</f>
        <v>0</v>
      </c>
      <c r="AV6" t="e">
        <f>AND('Ark1'!A219,"AAAAAB//dy8=")</f>
        <v>#VALUE!</v>
      </c>
      <c r="AW6" t="e">
        <f>AND('Ark1'!B219,"AAAAAB//dzA=")</f>
        <v>#VALUE!</v>
      </c>
      <c r="AX6" t="e">
        <f>AND('Ark1'!C219,"AAAAAB//dzE=")</f>
        <v>#VALUE!</v>
      </c>
      <c r="AY6" t="e">
        <f>AND('Ark1'!D219,"AAAAAB//dzI=")</f>
        <v>#VALUE!</v>
      </c>
      <c r="AZ6" t="e">
        <f>AND('Ark1'!E220,"AAAAAB//dzM=")</f>
        <v>#VALUE!</v>
      </c>
      <c r="BA6">
        <f>IF('Ark1'!221:221,"AAAAAB//dzQ=",0)</f>
        <v>0</v>
      </c>
      <c r="BB6" t="e">
        <f>AND('Ark1'!A220,"AAAAAB//dzU=")</f>
        <v>#VALUE!</v>
      </c>
      <c r="BC6" t="e">
        <f>AND('Ark1'!B220,"AAAAAB//dzY=")</f>
        <v>#VALUE!</v>
      </c>
      <c r="BD6" t="e">
        <f>AND('Ark1'!C220,"AAAAAB//dzc=")</f>
        <v>#VALUE!</v>
      </c>
      <c r="BE6" t="e">
        <f>AND('Ark1'!D220,"AAAAAB//dzg=")</f>
        <v>#VALUE!</v>
      </c>
      <c r="BF6" t="e">
        <f>AND('Ark1'!E221,"AAAAAB//dzk=")</f>
        <v>#VALUE!</v>
      </c>
      <c r="BG6">
        <f>IF('Ark1'!222:222,"AAAAAB//dzo=",0)</f>
        <v>0</v>
      </c>
      <c r="BH6" t="e">
        <f>AND('Ark1'!A221,"AAAAAB//dzs=")</f>
        <v>#VALUE!</v>
      </c>
      <c r="BI6" t="e">
        <f>AND('Ark1'!B221,"AAAAAB//dzw=")</f>
        <v>#VALUE!</v>
      </c>
      <c r="BJ6" t="e">
        <f>AND('Ark1'!C221,"AAAAAB//dz0=")</f>
        <v>#VALUE!</v>
      </c>
      <c r="BK6" t="e">
        <f>AND('Ark1'!D221,"AAAAAB//dz4=")</f>
        <v>#VALUE!</v>
      </c>
      <c r="BL6" t="e">
        <f>AND('Ark1'!E222,"AAAAAB//dz8=")</f>
        <v>#VALUE!</v>
      </c>
      <c r="BM6">
        <f>IF('Ark1'!223:223,"AAAAAB//d0A=",0)</f>
        <v>0</v>
      </c>
      <c r="BN6" t="e">
        <f>AND('Ark1'!A222,"AAAAAB//d0E=")</f>
        <v>#VALUE!</v>
      </c>
      <c r="BO6" t="e">
        <f>AND('Ark1'!B222,"AAAAAB//d0I=")</f>
        <v>#VALUE!</v>
      </c>
      <c r="BP6" t="e">
        <f>AND('Ark1'!C222,"AAAAAB//d0M=")</f>
        <v>#VALUE!</v>
      </c>
      <c r="BQ6" t="e">
        <f>AND('Ark1'!D222,"AAAAAB//d0Q=")</f>
        <v>#VALUE!</v>
      </c>
      <c r="BR6" t="e">
        <f>AND('Ark1'!E223,"AAAAAB//d0U=")</f>
        <v>#VALUE!</v>
      </c>
      <c r="BS6">
        <f>IF('Ark1'!224:224,"AAAAAB//d0Y=",0)</f>
        <v>0</v>
      </c>
      <c r="BT6" t="e">
        <f>AND('Ark1'!A223,"AAAAAB//d0c=")</f>
        <v>#VALUE!</v>
      </c>
      <c r="BU6" t="e">
        <f>AND('Ark1'!B223,"AAAAAB//d0g=")</f>
        <v>#VALUE!</v>
      </c>
      <c r="BV6" t="e">
        <f>AND('Ark1'!C223,"AAAAAB//d0k=")</f>
        <v>#VALUE!</v>
      </c>
      <c r="BW6" t="e">
        <f>AND('Ark1'!D223,"AAAAAB//d0o=")</f>
        <v>#VALUE!</v>
      </c>
      <c r="BX6" t="e">
        <f>AND('Ark1'!E224,"AAAAAB//d0s=")</f>
        <v>#VALUE!</v>
      </c>
      <c r="BY6">
        <f>IF('Ark1'!225:225,"AAAAAB//d0w=",0)</f>
        <v>0</v>
      </c>
      <c r="BZ6" t="e">
        <f>AND('Ark1'!A224,"AAAAAB//d00=")</f>
        <v>#VALUE!</v>
      </c>
      <c r="CA6" t="e">
        <f>AND('Ark1'!B224,"AAAAAB//d04=")</f>
        <v>#VALUE!</v>
      </c>
      <c r="CB6" t="e">
        <f>AND('Ark1'!C224,"AAAAAB//d08=")</f>
        <v>#VALUE!</v>
      </c>
      <c r="CC6" t="e">
        <f>AND('Ark1'!D224,"AAAAAB//d1A=")</f>
        <v>#VALUE!</v>
      </c>
      <c r="CD6" t="e">
        <f>AND('Ark1'!E225,"AAAAAB//d1E=")</f>
        <v>#VALUE!</v>
      </c>
      <c r="CE6">
        <f>IF('Ark1'!226:226,"AAAAAB//d1I=",0)</f>
        <v>0</v>
      </c>
      <c r="CF6" t="e">
        <f>AND('Ark1'!A225,"AAAAAB//d1M=")</f>
        <v>#VALUE!</v>
      </c>
      <c r="CG6" t="e">
        <f>AND('Ark1'!B225,"AAAAAB//d1Q=")</f>
        <v>#VALUE!</v>
      </c>
      <c r="CH6" t="e">
        <f>AND('Ark1'!C225,"AAAAAB//d1U=")</f>
        <v>#VALUE!</v>
      </c>
      <c r="CI6" t="e">
        <f>AND('Ark1'!D225,"AAAAAB//d1Y=")</f>
        <v>#VALUE!</v>
      </c>
      <c r="CJ6" t="e">
        <f>AND('Ark1'!E226,"AAAAAB//d1c=")</f>
        <v>#VALUE!</v>
      </c>
      <c r="CK6">
        <f>IF('Ark1'!227:227,"AAAAAB//d1g=",0)</f>
        <v>0</v>
      </c>
      <c r="CL6" t="e">
        <f>AND('Ark1'!A226,"AAAAAB//d1k=")</f>
        <v>#VALUE!</v>
      </c>
      <c r="CM6" t="e">
        <f>AND('Ark1'!B226,"AAAAAB//d1o=")</f>
        <v>#VALUE!</v>
      </c>
      <c r="CN6" t="e">
        <f>AND('Ark1'!C226,"AAAAAB//d1s=")</f>
        <v>#VALUE!</v>
      </c>
      <c r="CO6" t="e">
        <f>AND('Ark1'!D226,"AAAAAB//d1w=")</f>
        <v>#VALUE!</v>
      </c>
      <c r="CP6" t="e">
        <f>AND('Ark1'!E227,"AAAAAB//d10=")</f>
        <v>#VALUE!</v>
      </c>
      <c r="CQ6">
        <f>IF('Ark1'!228:228,"AAAAAB//d14=",0)</f>
        <v>0</v>
      </c>
      <c r="CR6" t="e">
        <f>AND('Ark1'!A227,"AAAAAB//d18=")</f>
        <v>#VALUE!</v>
      </c>
      <c r="CS6" t="e">
        <f>AND('Ark1'!B227,"AAAAAB//d2A=")</f>
        <v>#VALUE!</v>
      </c>
      <c r="CT6" t="e">
        <f>AND('Ark1'!C227,"AAAAAB//d2E=")</f>
        <v>#VALUE!</v>
      </c>
      <c r="CU6" t="e">
        <f>AND('Ark1'!D227,"AAAAAB//d2I=")</f>
        <v>#VALUE!</v>
      </c>
      <c r="CV6" t="e">
        <f>AND('Ark1'!E228,"AAAAAB//d2M=")</f>
        <v>#VALUE!</v>
      </c>
      <c r="CW6">
        <f>IF('Ark1'!229:229,"AAAAAB//d2Q=",0)</f>
        <v>0</v>
      </c>
      <c r="CX6" t="e">
        <f>AND('Ark1'!A228,"AAAAAB//d2U=")</f>
        <v>#VALUE!</v>
      </c>
      <c r="CY6" t="e">
        <f>AND('Ark1'!B228,"AAAAAB//d2Y=")</f>
        <v>#VALUE!</v>
      </c>
      <c r="CZ6" t="e">
        <f>AND('Ark1'!C228,"AAAAAB//d2c=")</f>
        <v>#VALUE!</v>
      </c>
      <c r="DA6" t="e">
        <f>AND('Ark1'!D228,"AAAAAB//d2g=")</f>
        <v>#VALUE!</v>
      </c>
      <c r="DB6" t="e">
        <f>AND('Ark1'!E229,"AAAAAB//d2k=")</f>
        <v>#VALUE!</v>
      </c>
      <c r="DC6">
        <f>IF('Ark1'!230:230,"AAAAAB//d2o=",0)</f>
        <v>0</v>
      </c>
      <c r="DD6" t="e">
        <f>AND('Ark1'!A229,"AAAAAB//d2s=")</f>
        <v>#VALUE!</v>
      </c>
      <c r="DE6" t="e">
        <f>AND('Ark1'!B229,"AAAAAB//d2w=")</f>
        <v>#VALUE!</v>
      </c>
      <c r="DF6" t="e">
        <f>AND('Ark1'!C229,"AAAAAB//d20=")</f>
        <v>#VALUE!</v>
      </c>
      <c r="DG6" t="e">
        <f>AND('Ark1'!D229,"AAAAAB//d24=")</f>
        <v>#VALUE!</v>
      </c>
      <c r="DH6" t="e">
        <f>AND('Ark1'!E230,"AAAAAB//d28=")</f>
        <v>#VALUE!</v>
      </c>
      <c r="DI6">
        <f>IF('Ark1'!231:231,"AAAAAB//d3A=",0)</f>
        <v>0</v>
      </c>
      <c r="DJ6" t="e">
        <f>AND('Ark1'!A230,"AAAAAB//d3E=")</f>
        <v>#VALUE!</v>
      </c>
      <c r="DK6" t="e">
        <f>AND('Ark1'!B230,"AAAAAB//d3I=")</f>
        <v>#VALUE!</v>
      </c>
      <c r="DL6" t="e">
        <f>AND('Ark1'!C230,"AAAAAB//d3M=")</f>
        <v>#VALUE!</v>
      </c>
      <c r="DM6" t="e">
        <f>AND('Ark1'!D230,"AAAAAB//d3Q=")</f>
        <v>#VALUE!</v>
      </c>
      <c r="DN6" t="e">
        <f>AND('Ark1'!E231,"AAAAAB//d3U=")</f>
        <v>#VALUE!</v>
      </c>
      <c r="DO6">
        <f>IF('Ark1'!232:232,"AAAAAB//d3Y=",0)</f>
        <v>0</v>
      </c>
      <c r="DP6" t="e">
        <f>AND('Ark1'!A231,"AAAAAB//d3c=")</f>
        <v>#VALUE!</v>
      </c>
      <c r="DQ6" t="e">
        <f>AND('Ark1'!B231,"AAAAAB//d3g=")</f>
        <v>#VALUE!</v>
      </c>
      <c r="DR6" t="e">
        <f>AND('Ark1'!C231,"AAAAAB//d3k=")</f>
        <v>#VALUE!</v>
      </c>
      <c r="DS6" t="e">
        <f>AND('Ark1'!D231,"AAAAAB//d3o=")</f>
        <v>#VALUE!</v>
      </c>
      <c r="DT6" t="e">
        <f>AND('Ark1'!E232,"AAAAAB//d3s=")</f>
        <v>#VALUE!</v>
      </c>
      <c r="DU6">
        <f>IF('Ark1'!233:233,"AAAAAB//d3w=",0)</f>
        <v>0</v>
      </c>
      <c r="DV6" t="e">
        <f>AND('Ark1'!A232,"AAAAAB//d30=")</f>
        <v>#VALUE!</v>
      </c>
      <c r="DW6" t="e">
        <f>AND('Ark1'!B232,"AAAAAB//d34=")</f>
        <v>#VALUE!</v>
      </c>
      <c r="DX6" t="e">
        <f>AND('Ark1'!C232,"AAAAAB//d38=")</f>
        <v>#VALUE!</v>
      </c>
      <c r="DY6" t="e">
        <f>AND('Ark1'!D232,"AAAAAB//d4A=")</f>
        <v>#VALUE!</v>
      </c>
      <c r="DZ6" t="e">
        <f>AND('Ark1'!E233,"AAAAAB//d4E=")</f>
        <v>#VALUE!</v>
      </c>
      <c r="EA6">
        <f>IF('Ark1'!234:234,"AAAAAB//d4I=",0)</f>
        <v>0</v>
      </c>
      <c r="EB6" t="e">
        <f>AND('Ark1'!A233,"AAAAAB//d4M=")</f>
        <v>#VALUE!</v>
      </c>
      <c r="EC6" t="e">
        <f>AND('Ark1'!B233,"AAAAAB//d4Q=")</f>
        <v>#VALUE!</v>
      </c>
      <c r="ED6" t="e">
        <f>AND('Ark1'!C233,"AAAAAB//d4U=")</f>
        <v>#VALUE!</v>
      </c>
      <c r="EE6" t="e">
        <f>AND('Ark1'!D233,"AAAAAB//d4Y=")</f>
        <v>#VALUE!</v>
      </c>
      <c r="EF6" t="e">
        <f>AND('Ark1'!E234,"AAAAAB//d4c=")</f>
        <v>#VALUE!</v>
      </c>
      <c r="EG6">
        <f>IF('Ark1'!235:235,"AAAAAB//d4g=",0)</f>
        <v>0</v>
      </c>
      <c r="EH6" t="e">
        <f>AND('Ark1'!A234,"AAAAAB//d4k=")</f>
        <v>#VALUE!</v>
      </c>
      <c r="EI6" t="e">
        <f>AND('Ark1'!B234,"AAAAAB//d4o=")</f>
        <v>#VALUE!</v>
      </c>
      <c r="EJ6" t="e">
        <f>AND('Ark1'!C234,"AAAAAB//d4s=")</f>
        <v>#VALUE!</v>
      </c>
      <c r="EK6" t="e">
        <f>AND('Ark1'!D234,"AAAAAB//d4w=")</f>
        <v>#VALUE!</v>
      </c>
      <c r="EL6" t="e">
        <f>AND('Ark1'!E235,"AAAAAB//d40=")</f>
        <v>#VALUE!</v>
      </c>
      <c r="EM6">
        <f>IF('Ark1'!236:236,"AAAAAB//d44=",0)</f>
        <v>0</v>
      </c>
      <c r="EN6" t="e">
        <f>AND('Ark1'!A235,"AAAAAB//d48=")</f>
        <v>#VALUE!</v>
      </c>
      <c r="EO6" t="e">
        <f>AND('Ark1'!B235,"AAAAAB//d5A=")</f>
        <v>#VALUE!</v>
      </c>
      <c r="EP6" t="e">
        <f>AND('Ark1'!C235,"AAAAAB//d5E=")</f>
        <v>#VALUE!</v>
      </c>
      <c r="EQ6" t="e">
        <f>AND('Ark1'!D235,"AAAAAB//d5I=")</f>
        <v>#VALUE!</v>
      </c>
      <c r="ER6" t="e">
        <f>AND('Ark1'!E236,"AAAAAB//d5M=")</f>
        <v>#VALUE!</v>
      </c>
      <c r="ES6">
        <f>IF('Ark1'!237:237,"AAAAAB//d5Q=",0)</f>
        <v>0</v>
      </c>
      <c r="ET6" t="e">
        <f>AND('Ark1'!A236,"AAAAAB//d5U=")</f>
        <v>#VALUE!</v>
      </c>
      <c r="EU6" t="e">
        <f>AND('Ark1'!B236,"AAAAAB//d5Y=")</f>
        <v>#VALUE!</v>
      </c>
      <c r="EV6" t="e">
        <f>AND('Ark1'!C236,"AAAAAB//d5c=")</f>
        <v>#VALUE!</v>
      </c>
      <c r="EW6" t="e">
        <f>AND('Ark1'!D236,"AAAAAB//d5g=")</f>
        <v>#VALUE!</v>
      </c>
      <c r="EX6" t="e">
        <f>AND('Ark1'!E237,"AAAAAB//d5k=")</f>
        <v>#VALUE!</v>
      </c>
      <c r="EY6">
        <f>IF('Ark1'!238:238,"AAAAAB//d5o=",0)</f>
        <v>0</v>
      </c>
      <c r="EZ6" t="e">
        <f>AND('Ark1'!A237,"AAAAAB//d5s=")</f>
        <v>#VALUE!</v>
      </c>
      <c r="FA6" t="e">
        <f>AND('Ark1'!B237,"AAAAAB//d5w=")</f>
        <v>#VALUE!</v>
      </c>
      <c r="FB6" t="e">
        <f>AND('Ark1'!C237,"AAAAAB//d50=")</f>
        <v>#VALUE!</v>
      </c>
      <c r="FC6" t="e">
        <f>AND('Ark1'!D237,"AAAAAB//d54=")</f>
        <v>#VALUE!</v>
      </c>
      <c r="FD6" t="e">
        <f>AND('Ark1'!E238,"AAAAAB//d58=")</f>
        <v>#VALUE!</v>
      </c>
      <c r="FE6">
        <f>IF('Ark1'!239:239,"AAAAAB//d6A=",0)</f>
        <v>0</v>
      </c>
      <c r="FF6" t="e">
        <f>AND('Ark1'!A238,"AAAAAB//d6E=")</f>
        <v>#VALUE!</v>
      </c>
      <c r="FG6" t="e">
        <f>AND('Ark1'!B238,"AAAAAB//d6I=")</f>
        <v>#VALUE!</v>
      </c>
      <c r="FH6" t="e">
        <f>AND('Ark1'!C238,"AAAAAB//d6M=")</f>
        <v>#VALUE!</v>
      </c>
      <c r="FI6" t="e">
        <f>AND('Ark1'!D238,"AAAAAB//d6Q=")</f>
        <v>#VALUE!</v>
      </c>
      <c r="FJ6" t="e">
        <f>AND('Ark1'!E239,"AAAAAB//d6U=")</f>
        <v>#VALUE!</v>
      </c>
      <c r="FK6">
        <f>IF('Ark1'!240:240,"AAAAAB//d6Y=",0)</f>
        <v>0</v>
      </c>
      <c r="FL6" t="e">
        <f>AND('Ark1'!A239,"AAAAAB//d6c=")</f>
        <v>#VALUE!</v>
      </c>
      <c r="FM6" t="e">
        <f>AND('Ark1'!B239,"AAAAAB//d6g=")</f>
        <v>#VALUE!</v>
      </c>
      <c r="FN6" t="e">
        <f>AND('Ark1'!C239,"AAAAAB//d6k=")</f>
        <v>#VALUE!</v>
      </c>
      <c r="FO6" t="e">
        <f>AND('Ark1'!D239,"AAAAAB//d6o=")</f>
        <v>#VALUE!</v>
      </c>
      <c r="FP6" t="e">
        <f>AND('Ark1'!E240,"AAAAAB//d6s=")</f>
        <v>#VALUE!</v>
      </c>
      <c r="FQ6">
        <f>IF('Ark1'!241:241,"AAAAAB//d6w=",0)</f>
        <v>0</v>
      </c>
      <c r="FR6" t="e">
        <f>AND('Ark1'!A240,"AAAAAB//d60=")</f>
        <v>#VALUE!</v>
      </c>
      <c r="FS6" t="e">
        <f>AND('Ark1'!B240,"AAAAAB//d64=")</f>
        <v>#VALUE!</v>
      </c>
      <c r="FT6" t="e">
        <f>AND('Ark1'!C240,"AAAAAB//d68=")</f>
        <v>#VALUE!</v>
      </c>
      <c r="FU6" t="e">
        <f>AND('Ark1'!D240,"AAAAAB//d7A=")</f>
        <v>#VALUE!</v>
      </c>
      <c r="FV6" t="e">
        <f>AND('Ark1'!E241,"AAAAAB//d7E=")</f>
        <v>#VALUE!</v>
      </c>
      <c r="FW6">
        <f>IF('Ark1'!242:242,"AAAAAB//d7I=",0)</f>
        <v>0</v>
      </c>
      <c r="FX6" t="e">
        <f>AND('Ark1'!A241,"AAAAAB//d7M=")</f>
        <v>#VALUE!</v>
      </c>
      <c r="FY6" t="e">
        <f>AND('Ark1'!B241,"AAAAAB//d7Q=")</f>
        <v>#VALUE!</v>
      </c>
      <c r="FZ6" t="e">
        <f>AND('Ark1'!C241,"AAAAAB//d7U=")</f>
        <v>#VALUE!</v>
      </c>
      <c r="GA6" t="e">
        <f>AND('Ark1'!D241,"AAAAAB//d7Y=")</f>
        <v>#VALUE!</v>
      </c>
      <c r="GB6" t="e">
        <f>AND('Ark1'!E242,"AAAAAB//d7c=")</f>
        <v>#VALUE!</v>
      </c>
      <c r="GC6">
        <f>IF('Ark1'!243:243,"AAAAAB//d7g=",0)</f>
        <v>0</v>
      </c>
      <c r="GD6" t="e">
        <f>AND('Ark1'!A242,"AAAAAB//d7k=")</f>
        <v>#VALUE!</v>
      </c>
      <c r="GE6" t="e">
        <f>AND('Ark1'!B242,"AAAAAB//d7o=")</f>
        <v>#VALUE!</v>
      </c>
      <c r="GF6" t="e">
        <f>AND('Ark1'!C242,"AAAAAB//d7s=")</f>
        <v>#VALUE!</v>
      </c>
      <c r="GG6" t="e">
        <f>AND('Ark1'!D242,"AAAAAB//d7w=")</f>
        <v>#VALUE!</v>
      </c>
      <c r="GH6" t="e">
        <f>AND('Ark1'!E243,"AAAAAB//d70=")</f>
        <v>#VALUE!</v>
      </c>
      <c r="GI6">
        <f>IF('Ark1'!244:244,"AAAAAB//d74=",0)</f>
        <v>0</v>
      </c>
      <c r="GJ6" t="e">
        <f>AND('Ark1'!A243,"AAAAAB//d78=")</f>
        <v>#VALUE!</v>
      </c>
      <c r="GK6" t="e">
        <f>AND('Ark1'!B243,"AAAAAB//d8A=")</f>
        <v>#VALUE!</v>
      </c>
      <c r="GL6" t="e">
        <f>AND('Ark1'!C243,"AAAAAB//d8E=")</f>
        <v>#VALUE!</v>
      </c>
      <c r="GM6" t="e">
        <f>AND('Ark1'!D243,"AAAAAB//d8I=")</f>
        <v>#VALUE!</v>
      </c>
      <c r="GN6" t="e">
        <f>AND('Ark1'!E244,"AAAAAB//d8M=")</f>
        <v>#VALUE!</v>
      </c>
      <c r="GO6">
        <f>IF('Ark1'!245:245,"AAAAAB//d8Q=",0)</f>
        <v>0</v>
      </c>
      <c r="GP6" t="e">
        <f>AND('Ark1'!A244,"AAAAAB//d8U=")</f>
        <v>#VALUE!</v>
      </c>
      <c r="GQ6" t="e">
        <f>AND('Ark1'!B244,"AAAAAB//d8Y=")</f>
        <v>#VALUE!</v>
      </c>
      <c r="GR6" t="e">
        <f>AND('Ark1'!C244,"AAAAAB//d8c=")</f>
        <v>#VALUE!</v>
      </c>
      <c r="GS6" t="e">
        <f>AND('Ark1'!D244,"AAAAAB//d8g=")</f>
        <v>#VALUE!</v>
      </c>
      <c r="GT6" t="e">
        <f>AND('Ark1'!E245,"AAAAAB//d8k=")</f>
        <v>#VALUE!</v>
      </c>
      <c r="GU6">
        <f>IF('Ark1'!246:246,"AAAAAB//d8o=",0)</f>
        <v>0</v>
      </c>
      <c r="GV6" t="e">
        <f>AND('Ark1'!A245,"AAAAAB//d8s=")</f>
        <v>#VALUE!</v>
      </c>
      <c r="GW6" t="e">
        <f>AND('Ark1'!B245,"AAAAAB//d8w=")</f>
        <v>#VALUE!</v>
      </c>
      <c r="GX6" t="e">
        <f>AND('Ark1'!C245,"AAAAAB//d80=")</f>
        <v>#VALUE!</v>
      </c>
      <c r="GY6" t="e">
        <f>AND('Ark1'!D245,"AAAAAB//d84=")</f>
        <v>#VALUE!</v>
      </c>
      <c r="GZ6" t="e">
        <f>AND('Ark1'!E246,"AAAAAB//d88=")</f>
        <v>#VALUE!</v>
      </c>
      <c r="HA6">
        <f>IF('Ark1'!247:247,"AAAAAB//d9A=",0)</f>
        <v>0</v>
      </c>
      <c r="HB6" t="e">
        <f>AND('Ark1'!A246,"AAAAAB//d9E=")</f>
        <v>#VALUE!</v>
      </c>
      <c r="HC6" t="e">
        <f>AND('Ark1'!B246,"AAAAAB//d9I=")</f>
        <v>#VALUE!</v>
      </c>
      <c r="HD6" t="e">
        <f>AND('Ark1'!C246,"AAAAAB//d9M=")</f>
        <v>#VALUE!</v>
      </c>
      <c r="HE6" t="e">
        <f>AND('Ark1'!D246,"AAAAAB//d9Q=")</f>
        <v>#VALUE!</v>
      </c>
      <c r="HF6" t="e">
        <f>AND('Ark1'!E247,"AAAAAB//d9U=")</f>
        <v>#VALUE!</v>
      </c>
      <c r="HG6">
        <f>IF('Ark1'!248:248,"AAAAAB//d9Y=",0)</f>
        <v>0</v>
      </c>
      <c r="HH6" t="e">
        <f>AND('Ark1'!A247,"AAAAAB//d9c=")</f>
        <v>#VALUE!</v>
      </c>
      <c r="HI6" t="e">
        <f>AND('Ark1'!B247,"AAAAAB//d9g=")</f>
        <v>#VALUE!</v>
      </c>
      <c r="HJ6" t="e">
        <f>AND('Ark1'!C247,"AAAAAB//d9k=")</f>
        <v>#VALUE!</v>
      </c>
      <c r="HK6" t="e">
        <f>AND('Ark1'!D247,"AAAAAB//d9o=")</f>
        <v>#VALUE!</v>
      </c>
      <c r="HL6" t="e">
        <f>AND('Ark1'!E248,"AAAAAB//d9s=")</f>
        <v>#VALUE!</v>
      </c>
      <c r="HM6">
        <f>IF('Ark1'!249:249,"AAAAAB//d9w=",0)</f>
        <v>0</v>
      </c>
      <c r="HN6" t="e">
        <f>AND('Ark1'!A248,"AAAAAB//d90=")</f>
        <v>#VALUE!</v>
      </c>
      <c r="HO6" t="e">
        <f>AND('Ark1'!B248,"AAAAAB//d94=")</f>
        <v>#VALUE!</v>
      </c>
      <c r="HP6" t="e">
        <f>AND('Ark1'!C248,"AAAAAB//d98=")</f>
        <v>#VALUE!</v>
      </c>
      <c r="HQ6" t="e">
        <f>AND('Ark1'!D248,"AAAAAB//d+A=")</f>
        <v>#VALUE!</v>
      </c>
      <c r="HR6" t="e">
        <f>AND('Ark1'!E249,"AAAAAB//d+E=")</f>
        <v>#VALUE!</v>
      </c>
      <c r="HS6">
        <f>IF('Ark1'!250:250,"AAAAAB//d+I=",0)</f>
        <v>0</v>
      </c>
      <c r="HT6" t="e">
        <f>AND('Ark1'!A249,"AAAAAB//d+M=")</f>
        <v>#VALUE!</v>
      </c>
      <c r="HU6" t="e">
        <f>AND('Ark1'!B249,"AAAAAB//d+Q=")</f>
        <v>#VALUE!</v>
      </c>
      <c r="HV6" t="e">
        <f>AND('Ark1'!C249,"AAAAAB//d+U=")</f>
        <v>#VALUE!</v>
      </c>
      <c r="HW6" t="e">
        <f>AND('Ark1'!D249,"AAAAAB//d+Y=")</f>
        <v>#VALUE!</v>
      </c>
      <c r="HX6" t="e">
        <f>AND('Ark1'!E250,"AAAAAB//d+c=")</f>
        <v>#VALUE!</v>
      </c>
      <c r="HY6">
        <f>IF('Ark1'!251:251,"AAAAAB//d+g=",0)</f>
        <v>0</v>
      </c>
      <c r="HZ6" t="e">
        <f>AND('Ark1'!A250,"AAAAAB//d+k=")</f>
        <v>#VALUE!</v>
      </c>
      <c r="IA6" t="e">
        <f>AND('Ark1'!B250,"AAAAAB//d+o=")</f>
        <v>#VALUE!</v>
      </c>
      <c r="IB6" t="e">
        <f>AND('Ark1'!C250,"AAAAAB//d+s=")</f>
        <v>#VALUE!</v>
      </c>
      <c r="IC6" t="e">
        <f>AND('Ark1'!D250,"AAAAAB//d+w=")</f>
        <v>#VALUE!</v>
      </c>
      <c r="ID6" t="e">
        <f>AND('Ark1'!E251,"AAAAAB//d+0=")</f>
        <v>#VALUE!</v>
      </c>
      <c r="IE6">
        <f>IF('Ark1'!252:252,"AAAAAB//d+4=",0)</f>
        <v>0</v>
      </c>
      <c r="IF6" t="e">
        <f>AND('Ark1'!A251,"AAAAAB//d+8=")</f>
        <v>#VALUE!</v>
      </c>
      <c r="IG6" t="e">
        <f>AND('Ark1'!B251,"AAAAAB//d/A=")</f>
        <v>#VALUE!</v>
      </c>
      <c r="IH6" t="e">
        <f>AND('Ark1'!C251,"AAAAAB//d/E=")</f>
        <v>#VALUE!</v>
      </c>
      <c r="II6" t="e">
        <f>AND('Ark1'!D251,"AAAAAB//d/I=")</f>
        <v>#VALUE!</v>
      </c>
      <c r="IJ6" t="e">
        <f>AND('Ark1'!E252,"AAAAAB//d/M=")</f>
        <v>#VALUE!</v>
      </c>
      <c r="IK6">
        <f>IF('Ark1'!253:253,"AAAAAB//d/Q=",0)</f>
        <v>0</v>
      </c>
      <c r="IL6" t="e">
        <f>AND('Ark1'!A252,"AAAAAB//d/U=")</f>
        <v>#VALUE!</v>
      </c>
      <c r="IM6" t="e">
        <f>AND('Ark1'!B252,"AAAAAB//d/Y=")</f>
        <v>#VALUE!</v>
      </c>
      <c r="IN6" t="e">
        <f>AND('Ark1'!C252,"AAAAAB//d/c=")</f>
        <v>#VALUE!</v>
      </c>
      <c r="IO6" t="e">
        <f>AND('Ark1'!D252,"AAAAAB//d/g=")</f>
        <v>#VALUE!</v>
      </c>
      <c r="IP6" t="e">
        <f>AND('Ark1'!E253,"AAAAAB//d/k=")</f>
        <v>#VALUE!</v>
      </c>
      <c r="IQ6">
        <f>IF('Ark1'!254:254,"AAAAAB//d/o=",0)</f>
        <v>0</v>
      </c>
      <c r="IR6" t="e">
        <f>AND('Ark1'!A253,"AAAAAB//d/s=")</f>
        <v>#VALUE!</v>
      </c>
      <c r="IS6" t="e">
        <f>AND('Ark1'!B253,"AAAAAB//d/w=")</f>
        <v>#VALUE!</v>
      </c>
      <c r="IT6" t="e">
        <f>AND('Ark1'!C253,"AAAAAB//d/0=")</f>
        <v>#VALUE!</v>
      </c>
      <c r="IU6" t="e">
        <f>AND('Ark1'!D253,"AAAAAB//d/4=")</f>
        <v>#VALUE!</v>
      </c>
      <c r="IV6" t="e">
        <f>AND('Ark1'!E254,"AAAAAB//d/8=")</f>
        <v>#VALUE!</v>
      </c>
    </row>
    <row r="7" spans="1:256" x14ac:dyDescent="0.25">
      <c r="A7" t="str">
        <f>IF('Ark1'!255:255,"AAAAAFn53wA=",0)</f>
        <v>AAAAAFn53wA=</v>
      </c>
      <c r="B7" t="e">
        <f>AND('Ark1'!A254,"AAAAAFn53wE=")</f>
        <v>#VALUE!</v>
      </c>
      <c r="C7" t="e">
        <f>AND('Ark1'!B254,"AAAAAFn53wI=")</f>
        <v>#VALUE!</v>
      </c>
      <c r="D7" t="e">
        <f>AND('Ark1'!C254,"AAAAAFn53wM=")</f>
        <v>#VALUE!</v>
      </c>
      <c r="E7" t="e">
        <f>AND('Ark1'!D254,"AAAAAFn53wQ=")</f>
        <v>#VALUE!</v>
      </c>
      <c r="F7" t="e">
        <f>AND('Ark1'!E255,"AAAAAFn53wU=")</f>
        <v>#VALUE!</v>
      </c>
      <c r="G7">
        <f>IF('Ark1'!256:256,"AAAAAFn53wY=",0)</f>
        <v>0</v>
      </c>
      <c r="H7" t="e">
        <f>AND('Ark1'!A255,"AAAAAFn53wc=")</f>
        <v>#VALUE!</v>
      </c>
      <c r="I7" t="e">
        <f>AND('Ark1'!B255,"AAAAAFn53wg=")</f>
        <v>#VALUE!</v>
      </c>
      <c r="J7" t="e">
        <f>AND('Ark1'!C255,"AAAAAFn53wk=")</f>
        <v>#VALUE!</v>
      </c>
      <c r="K7" t="e">
        <f>AND('Ark1'!D255,"AAAAAFn53wo=")</f>
        <v>#VALUE!</v>
      </c>
      <c r="L7" t="e">
        <f>AND('Ark1'!E256,"AAAAAFn53ws=")</f>
        <v>#VALUE!</v>
      </c>
      <c r="M7">
        <f>IF('Ark1'!257:257,"AAAAAFn53ww=",0)</f>
        <v>0</v>
      </c>
      <c r="N7" t="e">
        <f>AND('Ark1'!A256,"AAAAAFn53w0=")</f>
        <v>#VALUE!</v>
      </c>
      <c r="O7" t="e">
        <f>AND('Ark1'!B256,"AAAAAFn53w4=")</f>
        <v>#VALUE!</v>
      </c>
      <c r="P7" t="e">
        <f>AND('Ark1'!C256,"AAAAAFn53w8=")</f>
        <v>#VALUE!</v>
      </c>
      <c r="Q7" t="e">
        <f>AND('Ark1'!D256,"AAAAAFn53xA=")</f>
        <v>#VALUE!</v>
      </c>
      <c r="R7" t="e">
        <f>AND('Ark1'!E257,"AAAAAFn53xE=")</f>
        <v>#VALUE!</v>
      </c>
      <c r="S7">
        <f>IF('Ark1'!258:258,"AAAAAFn53xI=",0)</f>
        <v>0</v>
      </c>
      <c r="T7" t="e">
        <f>AND('Ark1'!A257,"AAAAAFn53xM=")</f>
        <v>#VALUE!</v>
      </c>
      <c r="U7" t="e">
        <f>AND('Ark1'!B257,"AAAAAFn53xQ=")</f>
        <v>#VALUE!</v>
      </c>
      <c r="V7" t="e">
        <f>AND('Ark1'!C257,"AAAAAFn53xU=")</f>
        <v>#VALUE!</v>
      </c>
      <c r="W7" t="e">
        <f>AND('Ark1'!D257,"AAAAAFn53xY=")</f>
        <v>#VALUE!</v>
      </c>
      <c r="X7" t="e">
        <f>AND('Ark1'!E258,"AAAAAFn53xc=")</f>
        <v>#VALUE!</v>
      </c>
      <c r="Y7">
        <f>IF('Ark1'!259:259,"AAAAAFn53xg=",0)</f>
        <v>0</v>
      </c>
      <c r="Z7" t="e">
        <f>AND('Ark1'!A258,"AAAAAFn53xk=")</f>
        <v>#VALUE!</v>
      </c>
      <c r="AA7" t="e">
        <f>AND('Ark1'!B258,"AAAAAFn53xo=")</f>
        <v>#VALUE!</v>
      </c>
      <c r="AB7" t="e">
        <f>AND('Ark1'!C258,"AAAAAFn53xs=")</f>
        <v>#VALUE!</v>
      </c>
      <c r="AC7" t="e">
        <f>AND('Ark1'!D258,"AAAAAFn53xw=")</f>
        <v>#VALUE!</v>
      </c>
      <c r="AD7" t="e">
        <f>AND('Ark1'!E259,"AAAAAFn53x0=")</f>
        <v>#VALUE!</v>
      </c>
      <c r="AE7">
        <f>IF('Ark1'!260:260,"AAAAAFn53x4=",0)</f>
        <v>0</v>
      </c>
      <c r="AF7" t="e">
        <f>AND('Ark1'!A259,"AAAAAFn53x8=")</f>
        <v>#VALUE!</v>
      </c>
      <c r="AG7" t="e">
        <f>AND('Ark1'!B259,"AAAAAFn53yA=")</f>
        <v>#VALUE!</v>
      </c>
      <c r="AH7" t="e">
        <f>AND('Ark1'!C259,"AAAAAFn53yE=")</f>
        <v>#VALUE!</v>
      </c>
      <c r="AI7" t="e">
        <f>AND('Ark1'!D259,"AAAAAFn53yI=")</f>
        <v>#VALUE!</v>
      </c>
      <c r="AJ7" t="e">
        <f>AND('Ark1'!E260,"AAAAAFn53yM=")</f>
        <v>#VALUE!</v>
      </c>
      <c r="AK7">
        <f>IF('Ark1'!261:261,"AAAAAFn53yQ=",0)</f>
        <v>0</v>
      </c>
      <c r="AL7" t="e">
        <f>AND('Ark1'!A260,"AAAAAFn53yU=")</f>
        <v>#VALUE!</v>
      </c>
      <c r="AM7" t="e">
        <f>AND('Ark1'!B260,"AAAAAFn53yY=")</f>
        <v>#VALUE!</v>
      </c>
      <c r="AN7" t="e">
        <f>AND('Ark1'!C260,"AAAAAFn53yc=")</f>
        <v>#VALUE!</v>
      </c>
      <c r="AO7" t="e">
        <f>AND('Ark1'!D260,"AAAAAFn53yg=")</f>
        <v>#VALUE!</v>
      </c>
      <c r="AP7" t="e">
        <f>AND('Ark1'!E261,"AAAAAFn53yk=")</f>
        <v>#VALUE!</v>
      </c>
      <c r="AQ7">
        <f>IF('Ark1'!262:262,"AAAAAFn53yo=",0)</f>
        <v>0</v>
      </c>
      <c r="AR7" t="e">
        <f>AND('Ark1'!A261,"AAAAAFn53ys=")</f>
        <v>#VALUE!</v>
      </c>
      <c r="AS7" t="e">
        <f>AND('Ark1'!B261,"AAAAAFn53yw=")</f>
        <v>#VALUE!</v>
      </c>
      <c r="AT7" t="e">
        <f>AND('Ark1'!C261,"AAAAAFn53y0=")</f>
        <v>#VALUE!</v>
      </c>
      <c r="AU7" t="e">
        <f>AND('Ark1'!D261,"AAAAAFn53y4=")</f>
        <v>#VALUE!</v>
      </c>
      <c r="AV7" t="e">
        <f>AND('Ark1'!E262,"AAAAAFn53y8=")</f>
        <v>#VALUE!</v>
      </c>
      <c r="AW7">
        <f>IF('Ark1'!263:263,"AAAAAFn53zA=",0)</f>
        <v>0</v>
      </c>
      <c r="AX7" t="e">
        <f>AND('Ark1'!A262,"AAAAAFn53zE=")</f>
        <v>#VALUE!</v>
      </c>
      <c r="AY7" t="e">
        <f>AND('Ark1'!B262,"AAAAAFn53zI=")</f>
        <v>#VALUE!</v>
      </c>
      <c r="AZ7" t="e">
        <f>AND('Ark1'!C262,"AAAAAFn53zM=")</f>
        <v>#VALUE!</v>
      </c>
      <c r="BA7" t="e">
        <f>AND('Ark1'!D262,"AAAAAFn53zQ=")</f>
        <v>#VALUE!</v>
      </c>
      <c r="BB7" t="e">
        <f>AND('Ark1'!E263,"AAAAAFn53zU=")</f>
        <v>#VALUE!</v>
      </c>
      <c r="BC7">
        <f>IF('Ark1'!264:264,"AAAAAFn53zY=",0)</f>
        <v>0</v>
      </c>
      <c r="BD7" t="e">
        <f>AND('Ark1'!A263,"AAAAAFn53zc=")</f>
        <v>#VALUE!</v>
      </c>
      <c r="BE7" t="e">
        <f>AND('Ark1'!B263,"AAAAAFn53zg=")</f>
        <v>#VALUE!</v>
      </c>
      <c r="BF7" t="e">
        <f>AND('Ark1'!C263,"AAAAAFn53zk=")</f>
        <v>#VALUE!</v>
      </c>
      <c r="BG7" t="e">
        <f>AND('Ark1'!D263,"AAAAAFn53zo=")</f>
        <v>#VALUE!</v>
      </c>
      <c r="BH7" t="e">
        <f>AND('Ark1'!E264,"AAAAAFn53zs=")</f>
        <v>#VALUE!</v>
      </c>
      <c r="BI7">
        <f>IF('Ark1'!265:265,"AAAAAFn53zw=",0)</f>
        <v>0</v>
      </c>
      <c r="BJ7" t="e">
        <f>AND('Ark1'!A264,"AAAAAFn53z0=")</f>
        <v>#VALUE!</v>
      </c>
      <c r="BK7" t="e">
        <f>AND('Ark1'!B264,"AAAAAFn53z4=")</f>
        <v>#VALUE!</v>
      </c>
      <c r="BL7" t="e">
        <f>AND('Ark1'!C264,"AAAAAFn53z8=")</f>
        <v>#VALUE!</v>
      </c>
      <c r="BM7" t="e">
        <f>AND('Ark1'!D264,"AAAAAFn530A=")</f>
        <v>#VALUE!</v>
      </c>
      <c r="BN7" t="e">
        <f>AND('Ark1'!E265,"AAAAAFn530E=")</f>
        <v>#VALUE!</v>
      </c>
      <c r="BO7">
        <f>IF('Ark1'!266:266,"AAAAAFn530I=",0)</f>
        <v>0</v>
      </c>
      <c r="BP7" t="e">
        <f>AND('Ark1'!A265,"AAAAAFn530M=")</f>
        <v>#VALUE!</v>
      </c>
      <c r="BQ7" t="e">
        <f>AND('Ark1'!B265,"AAAAAFn530Q=")</f>
        <v>#VALUE!</v>
      </c>
      <c r="BR7" t="e">
        <f>AND('Ark1'!C265,"AAAAAFn530U=")</f>
        <v>#VALUE!</v>
      </c>
      <c r="BS7" t="e">
        <f>AND('Ark1'!D265,"AAAAAFn530Y=")</f>
        <v>#VALUE!</v>
      </c>
      <c r="BT7" t="e">
        <f>AND('Ark1'!E266,"AAAAAFn530c=")</f>
        <v>#VALUE!</v>
      </c>
      <c r="BU7">
        <f>IF('Ark1'!267:267,"AAAAAFn530g=",0)</f>
        <v>0</v>
      </c>
      <c r="BV7" t="e">
        <f>AND('Ark1'!A266,"AAAAAFn530k=")</f>
        <v>#VALUE!</v>
      </c>
      <c r="BW7" t="e">
        <f>AND('Ark1'!B266,"AAAAAFn530o=")</f>
        <v>#VALUE!</v>
      </c>
      <c r="BX7" t="e">
        <f>AND('Ark1'!C266,"AAAAAFn530s=")</f>
        <v>#VALUE!</v>
      </c>
      <c r="BY7" t="e">
        <f>AND('Ark1'!D266,"AAAAAFn530w=")</f>
        <v>#VALUE!</v>
      </c>
      <c r="BZ7" t="e">
        <f>AND('Ark1'!E267,"AAAAAFn5300=")</f>
        <v>#VALUE!</v>
      </c>
      <c r="CA7">
        <f>IF('Ark1'!268:268,"AAAAAFn5304=",0)</f>
        <v>0</v>
      </c>
      <c r="CB7" t="e">
        <f>AND('Ark1'!A267,"AAAAAFn5308=")</f>
        <v>#VALUE!</v>
      </c>
      <c r="CC7" t="e">
        <f>AND('Ark1'!B267,"AAAAAFn531A=")</f>
        <v>#VALUE!</v>
      </c>
      <c r="CD7" t="e">
        <f>AND('Ark1'!C267,"AAAAAFn531E=")</f>
        <v>#VALUE!</v>
      </c>
      <c r="CE7" t="e">
        <f>AND('Ark1'!D267,"AAAAAFn531I=")</f>
        <v>#VALUE!</v>
      </c>
      <c r="CF7" t="e">
        <f>AND('Ark1'!E268,"AAAAAFn531M=")</f>
        <v>#VALUE!</v>
      </c>
      <c r="CG7">
        <f>IF('Ark1'!269:269,"AAAAAFn531Q=",0)</f>
        <v>0</v>
      </c>
      <c r="CH7" t="e">
        <f>AND('Ark1'!A268,"AAAAAFn531U=")</f>
        <v>#VALUE!</v>
      </c>
      <c r="CI7" t="e">
        <f>AND('Ark1'!B268,"AAAAAFn531Y=")</f>
        <v>#VALUE!</v>
      </c>
      <c r="CJ7" t="e">
        <f>AND('Ark1'!C268,"AAAAAFn531c=")</f>
        <v>#VALUE!</v>
      </c>
      <c r="CK7" t="e">
        <f>AND('Ark1'!D268,"AAAAAFn531g=")</f>
        <v>#VALUE!</v>
      </c>
      <c r="CL7" t="e">
        <f>AND('Ark1'!E269,"AAAAAFn531k=")</f>
        <v>#VALUE!</v>
      </c>
      <c r="CM7">
        <f>IF('Ark1'!273:273,"AAAAAFn531o=",0)</f>
        <v>0</v>
      </c>
      <c r="CN7" t="e">
        <f>AND('Ark1'!#REF!,"AAAAAFn531s=")</f>
        <v>#REF!</v>
      </c>
      <c r="CO7" t="e">
        <f>AND('Ark1'!#REF!,"AAAAAFn531w=")</f>
        <v>#REF!</v>
      </c>
      <c r="CP7" t="e">
        <f>AND('Ark1'!C272,"AAAAAFn5310=")</f>
        <v>#VALUE!</v>
      </c>
      <c r="CQ7" t="e">
        <f>AND('Ark1'!D272,"AAAAAFn5314=")</f>
        <v>#VALUE!</v>
      </c>
      <c r="CR7" t="e">
        <f>AND('Ark1'!E273,"AAAAAFn5318=")</f>
        <v>#VALUE!</v>
      </c>
      <c r="CS7">
        <f>IF('Ark1'!275:275,"AAAAAFn532A=",0)</f>
        <v>0</v>
      </c>
      <c r="CT7" t="e">
        <f>AND('Ark1'!A274,"AAAAAFn532E=")</f>
        <v>#VALUE!</v>
      </c>
      <c r="CU7" t="e">
        <f>AND('Ark1'!B274,"AAAAAFn532I=")</f>
        <v>#VALUE!</v>
      </c>
      <c r="CV7" t="e">
        <f>AND('Ark1'!C274,"AAAAAFn532M=")</f>
        <v>#VALUE!</v>
      </c>
      <c r="CW7" t="e">
        <f>AND('Ark1'!D274,"AAAAAFn532Q=")</f>
        <v>#VALUE!</v>
      </c>
      <c r="CX7" t="e">
        <f>AND('Ark1'!E275,"AAAAAFn532U=")</f>
        <v>#VALUE!</v>
      </c>
      <c r="CY7">
        <f>IF('Ark1'!276:276,"AAAAAFn532Y=",0)</f>
        <v>0</v>
      </c>
      <c r="CZ7" t="e">
        <f>AND('Ark1'!A275,"AAAAAFn532c=")</f>
        <v>#VALUE!</v>
      </c>
      <c r="DA7" t="e">
        <f>AND('Ark1'!B275,"AAAAAFn532g=")</f>
        <v>#VALUE!</v>
      </c>
      <c r="DB7" t="e">
        <f>AND('Ark1'!C275,"AAAAAFn532k=")</f>
        <v>#VALUE!</v>
      </c>
      <c r="DC7" t="e">
        <f>AND('Ark1'!D275,"AAAAAFn532o=")</f>
        <v>#VALUE!</v>
      </c>
      <c r="DD7" t="e">
        <f>AND('Ark1'!E276,"AAAAAFn532s=")</f>
        <v>#VALUE!</v>
      </c>
      <c r="DE7">
        <f>IF('Ark1'!277:277,"AAAAAFn532w=",0)</f>
        <v>0</v>
      </c>
      <c r="DF7" t="e">
        <f>AND('Ark1'!A276,"AAAAAFn5320=")</f>
        <v>#VALUE!</v>
      </c>
      <c r="DG7" t="e">
        <f>AND('Ark1'!B276,"AAAAAFn5324=")</f>
        <v>#VALUE!</v>
      </c>
      <c r="DH7" t="e">
        <f>AND('Ark1'!C276,"AAAAAFn5328=")</f>
        <v>#VALUE!</v>
      </c>
      <c r="DI7" t="e">
        <f>AND('Ark1'!D276,"AAAAAFn533A=")</f>
        <v>#VALUE!</v>
      </c>
      <c r="DJ7" t="e">
        <f>AND('Ark1'!E277,"AAAAAFn533E=")</f>
        <v>#VALUE!</v>
      </c>
      <c r="DK7">
        <f>IF('Ark1'!278:278,"AAAAAFn533I=",0)</f>
        <v>0</v>
      </c>
      <c r="DL7" t="e">
        <f>AND('Ark1'!A277,"AAAAAFn533M=")</f>
        <v>#VALUE!</v>
      </c>
      <c r="DM7" t="e">
        <f>AND('Ark1'!B277,"AAAAAFn533Q=")</f>
        <v>#VALUE!</v>
      </c>
      <c r="DN7" t="e">
        <f>AND('Ark1'!C277,"AAAAAFn533U=")</f>
        <v>#VALUE!</v>
      </c>
      <c r="DO7" t="e">
        <f>AND('Ark1'!D277,"AAAAAFn533Y=")</f>
        <v>#VALUE!</v>
      </c>
      <c r="DP7" t="e">
        <f>AND('Ark1'!E278,"AAAAAFn533c=")</f>
        <v>#VALUE!</v>
      </c>
      <c r="DQ7">
        <f>IF('Ark1'!279:279,"AAAAAFn533g=",0)</f>
        <v>0</v>
      </c>
      <c r="DR7" t="e">
        <f>AND('Ark1'!A278,"AAAAAFn533k=")</f>
        <v>#VALUE!</v>
      </c>
      <c r="DS7" t="e">
        <f>AND('Ark1'!B278,"AAAAAFn533o=")</f>
        <v>#VALUE!</v>
      </c>
      <c r="DT7" t="e">
        <f>AND('Ark1'!C278,"AAAAAFn533s=")</f>
        <v>#VALUE!</v>
      </c>
      <c r="DU7" t="e">
        <f>AND('Ark1'!D278,"AAAAAFn533w=")</f>
        <v>#VALUE!</v>
      </c>
      <c r="DV7" t="e">
        <f>AND('Ark1'!E279,"AAAAAFn5330=")</f>
        <v>#VALUE!</v>
      </c>
      <c r="DW7">
        <f>IF('Ark1'!280:280,"AAAAAFn5334=",0)</f>
        <v>0</v>
      </c>
      <c r="DX7" t="e">
        <f>AND('Ark1'!A279,"AAAAAFn5338=")</f>
        <v>#VALUE!</v>
      </c>
      <c r="DY7" t="e">
        <f>AND('Ark1'!B279,"AAAAAFn534A=")</f>
        <v>#VALUE!</v>
      </c>
      <c r="DZ7" t="e">
        <f>AND('Ark1'!C279,"AAAAAFn534E=")</f>
        <v>#VALUE!</v>
      </c>
      <c r="EA7" t="e">
        <f>AND('Ark1'!D279,"AAAAAFn534I=")</f>
        <v>#VALUE!</v>
      </c>
      <c r="EB7" t="e">
        <f>AND('Ark1'!E280,"AAAAAFn534M=")</f>
        <v>#VALUE!</v>
      </c>
      <c r="EC7">
        <f>IF('Ark1'!281:281,"AAAAAFn534Q=",0)</f>
        <v>0</v>
      </c>
      <c r="ED7" t="e">
        <f>AND('Ark1'!A280,"AAAAAFn534U=")</f>
        <v>#VALUE!</v>
      </c>
      <c r="EE7" t="e">
        <f>AND('Ark1'!B280,"AAAAAFn534Y=")</f>
        <v>#VALUE!</v>
      </c>
      <c r="EF7" t="e">
        <f>AND('Ark1'!C280,"AAAAAFn534c=")</f>
        <v>#VALUE!</v>
      </c>
      <c r="EG7" t="e">
        <f>AND('Ark1'!D280,"AAAAAFn534g=")</f>
        <v>#VALUE!</v>
      </c>
      <c r="EH7" t="e">
        <f>AND('Ark1'!E281,"AAAAAFn534k=")</f>
        <v>#VALUE!</v>
      </c>
      <c r="EI7">
        <f>IF('Ark1'!282:282,"AAAAAFn534o=",0)</f>
        <v>0</v>
      </c>
      <c r="EJ7" t="e">
        <f>AND('Ark1'!A281,"AAAAAFn534s=")</f>
        <v>#VALUE!</v>
      </c>
      <c r="EK7" t="e">
        <f>AND('Ark1'!B281,"AAAAAFn534w=")</f>
        <v>#VALUE!</v>
      </c>
      <c r="EL7" t="e">
        <f>AND('Ark1'!C281,"AAAAAFn5340=")</f>
        <v>#VALUE!</v>
      </c>
      <c r="EM7" t="e">
        <f>AND('Ark1'!D281,"AAAAAFn5344=")</f>
        <v>#VALUE!</v>
      </c>
      <c r="EN7" t="e">
        <f>AND('Ark1'!E282,"AAAAAFn5348=")</f>
        <v>#VALUE!</v>
      </c>
      <c r="EO7">
        <f>IF('Ark1'!283:283,"AAAAAFn535A=",0)</f>
        <v>0</v>
      </c>
      <c r="EP7" t="e">
        <f>AND('Ark1'!A282,"AAAAAFn535E=")</f>
        <v>#VALUE!</v>
      </c>
      <c r="EQ7" t="e">
        <f>AND('Ark1'!B282,"AAAAAFn535I=")</f>
        <v>#VALUE!</v>
      </c>
      <c r="ER7" t="e">
        <f>AND('Ark1'!C282,"AAAAAFn535M=")</f>
        <v>#VALUE!</v>
      </c>
      <c r="ES7" t="e">
        <f>AND('Ark1'!D282,"AAAAAFn535Q=")</f>
        <v>#VALUE!</v>
      </c>
      <c r="ET7" t="e">
        <f>AND('Ark1'!E283,"AAAAAFn535U=")</f>
        <v>#VALUE!</v>
      </c>
      <c r="EU7">
        <f>IF('Ark1'!284:284,"AAAAAFn535Y=",0)</f>
        <v>0</v>
      </c>
      <c r="EV7" t="e">
        <f>AND('Ark1'!A283,"AAAAAFn535c=")</f>
        <v>#VALUE!</v>
      </c>
      <c r="EW7" t="e">
        <f>AND('Ark1'!B283,"AAAAAFn535g=")</f>
        <v>#VALUE!</v>
      </c>
      <c r="EX7" t="e">
        <f>AND('Ark1'!C283,"AAAAAFn535k=")</f>
        <v>#VALUE!</v>
      </c>
      <c r="EY7" t="e">
        <f>AND('Ark1'!D283,"AAAAAFn535o=")</f>
        <v>#VALUE!</v>
      </c>
      <c r="EZ7" t="e">
        <f>AND('Ark1'!E284,"AAAAAFn535s=")</f>
        <v>#VALUE!</v>
      </c>
      <c r="FA7">
        <f>IF('Ark1'!285:285,"AAAAAFn535w=",0)</f>
        <v>0</v>
      </c>
      <c r="FB7" t="e">
        <f>AND('Ark1'!A284,"AAAAAFn5350=")</f>
        <v>#VALUE!</v>
      </c>
      <c r="FC7" t="e">
        <f>AND('Ark1'!B284,"AAAAAFn5354=")</f>
        <v>#VALUE!</v>
      </c>
      <c r="FD7" t="e">
        <f>AND('Ark1'!C284,"AAAAAFn5358=")</f>
        <v>#VALUE!</v>
      </c>
      <c r="FE7" t="e">
        <f>AND('Ark1'!D284,"AAAAAFn536A=")</f>
        <v>#VALUE!</v>
      </c>
      <c r="FF7" t="e">
        <f>AND('Ark1'!E285,"AAAAAFn536E=")</f>
        <v>#VALUE!</v>
      </c>
      <c r="FG7">
        <f>IF('Ark1'!286:286,"AAAAAFn536I=",0)</f>
        <v>0</v>
      </c>
      <c r="FH7" t="e">
        <f>AND('Ark1'!A285,"AAAAAFn536M=")</f>
        <v>#VALUE!</v>
      </c>
      <c r="FI7" t="e">
        <f>AND('Ark1'!B285,"AAAAAFn536Q=")</f>
        <v>#VALUE!</v>
      </c>
      <c r="FJ7" t="e">
        <f>AND('Ark1'!C285,"AAAAAFn536U=")</f>
        <v>#VALUE!</v>
      </c>
      <c r="FK7" t="e">
        <f>AND('Ark1'!D285,"AAAAAFn536Y=")</f>
        <v>#VALUE!</v>
      </c>
      <c r="FL7" t="e">
        <f>AND('Ark1'!E286,"AAAAAFn536c=")</f>
        <v>#VALUE!</v>
      </c>
      <c r="FM7">
        <f>IF('Ark1'!287:287,"AAAAAFn536g=",0)</f>
        <v>0</v>
      </c>
      <c r="FN7" t="e">
        <f>AND('Ark1'!A286,"AAAAAFn536k=")</f>
        <v>#VALUE!</v>
      </c>
      <c r="FO7" t="e">
        <f>AND('Ark1'!B286,"AAAAAFn536o=")</f>
        <v>#VALUE!</v>
      </c>
      <c r="FP7" t="e">
        <f>AND('Ark1'!C286,"AAAAAFn536s=")</f>
        <v>#VALUE!</v>
      </c>
      <c r="FQ7" t="e">
        <f>AND('Ark1'!D286,"AAAAAFn536w=")</f>
        <v>#VALUE!</v>
      </c>
      <c r="FR7" t="e">
        <f>AND('Ark1'!E287,"AAAAAFn5360=")</f>
        <v>#VALUE!</v>
      </c>
      <c r="FS7">
        <f>IF('Ark1'!288:288,"AAAAAFn5364=",0)</f>
        <v>0</v>
      </c>
      <c r="FT7" t="e">
        <f>AND('Ark1'!A287,"AAAAAFn5368=")</f>
        <v>#VALUE!</v>
      </c>
      <c r="FU7" t="e">
        <f>AND('Ark1'!B287,"AAAAAFn537A=")</f>
        <v>#VALUE!</v>
      </c>
      <c r="FV7" t="e">
        <f>AND('Ark1'!C287,"AAAAAFn537E=")</f>
        <v>#VALUE!</v>
      </c>
      <c r="FW7" t="e">
        <f>AND('Ark1'!D287,"AAAAAFn537I=")</f>
        <v>#VALUE!</v>
      </c>
      <c r="FX7" t="e">
        <f>AND('Ark1'!E288,"AAAAAFn537M=")</f>
        <v>#VALUE!</v>
      </c>
      <c r="FY7">
        <f>IF('Ark1'!289:289,"AAAAAFn537Q=",0)</f>
        <v>0</v>
      </c>
      <c r="FZ7" t="e">
        <f>AND('Ark1'!A288,"AAAAAFn537U=")</f>
        <v>#VALUE!</v>
      </c>
      <c r="GA7" t="e">
        <f>AND('Ark1'!B288,"AAAAAFn537Y=")</f>
        <v>#VALUE!</v>
      </c>
      <c r="GB7" t="e">
        <f>AND('Ark1'!C288,"AAAAAFn537c=")</f>
        <v>#VALUE!</v>
      </c>
      <c r="GC7" t="e">
        <f>AND('Ark1'!D288,"AAAAAFn537g=")</f>
        <v>#VALUE!</v>
      </c>
      <c r="GD7" t="e">
        <f>AND('Ark1'!E289,"AAAAAFn537k=")</f>
        <v>#VALUE!</v>
      </c>
      <c r="GE7">
        <f>IF('Ark1'!290:290,"AAAAAFn537o=",0)</f>
        <v>0</v>
      </c>
      <c r="GF7" t="e">
        <f>AND('Ark1'!A289,"AAAAAFn537s=")</f>
        <v>#VALUE!</v>
      </c>
      <c r="GG7" t="e">
        <f>AND('Ark1'!B289,"AAAAAFn537w=")</f>
        <v>#VALUE!</v>
      </c>
      <c r="GH7" t="e">
        <f>AND('Ark1'!C289,"AAAAAFn5370=")</f>
        <v>#VALUE!</v>
      </c>
      <c r="GI7" t="e">
        <f>AND('Ark1'!D289,"AAAAAFn5374=")</f>
        <v>#VALUE!</v>
      </c>
      <c r="GJ7" t="e">
        <f>AND('Ark1'!E290,"AAAAAFn5378=")</f>
        <v>#VALUE!</v>
      </c>
      <c r="GK7">
        <f>IF('Ark1'!291:291,"AAAAAFn538A=",0)</f>
        <v>0</v>
      </c>
      <c r="GL7" t="e">
        <f>AND('Ark1'!A290,"AAAAAFn538E=")</f>
        <v>#VALUE!</v>
      </c>
      <c r="GM7" t="e">
        <f>AND('Ark1'!B290,"AAAAAFn538I=")</f>
        <v>#VALUE!</v>
      </c>
      <c r="GN7" t="e">
        <f>AND('Ark1'!C290,"AAAAAFn538M=")</f>
        <v>#VALUE!</v>
      </c>
      <c r="GO7" t="e">
        <f>AND('Ark1'!D290,"AAAAAFn538Q=")</f>
        <v>#VALUE!</v>
      </c>
      <c r="GP7" t="e">
        <f>AND('Ark1'!E291,"AAAAAFn538U=")</f>
        <v>#VALUE!</v>
      </c>
      <c r="GQ7">
        <f>IF('Ark1'!292:292,"AAAAAFn538Y=",0)</f>
        <v>0</v>
      </c>
      <c r="GR7" t="e">
        <f>AND('Ark1'!A291,"AAAAAFn538c=")</f>
        <v>#VALUE!</v>
      </c>
      <c r="GS7" t="e">
        <f>AND('Ark1'!B291,"AAAAAFn538g=")</f>
        <v>#VALUE!</v>
      </c>
      <c r="GT7" t="e">
        <f>AND('Ark1'!C291,"AAAAAFn538k=")</f>
        <v>#VALUE!</v>
      </c>
      <c r="GU7" t="e">
        <f>AND('Ark1'!D291,"AAAAAFn538o=")</f>
        <v>#VALUE!</v>
      </c>
      <c r="GV7" t="e">
        <f>AND('Ark1'!E292,"AAAAAFn538s=")</f>
        <v>#VALUE!</v>
      </c>
      <c r="GW7">
        <f>IF('Ark1'!293:293,"AAAAAFn538w=",0)</f>
        <v>0</v>
      </c>
      <c r="GX7" t="e">
        <f>AND('Ark1'!A292,"AAAAAFn5380=")</f>
        <v>#VALUE!</v>
      </c>
      <c r="GY7" t="e">
        <f>AND('Ark1'!B292,"AAAAAFn5384=")</f>
        <v>#VALUE!</v>
      </c>
      <c r="GZ7" t="e">
        <f>AND('Ark1'!C292,"AAAAAFn5388=")</f>
        <v>#VALUE!</v>
      </c>
      <c r="HA7" t="e">
        <f>AND('Ark1'!D292,"AAAAAFn539A=")</f>
        <v>#VALUE!</v>
      </c>
      <c r="HB7" t="e">
        <f>AND('Ark1'!E293,"AAAAAFn539E=")</f>
        <v>#VALUE!</v>
      </c>
      <c r="HC7">
        <f>IF('Ark1'!294:294,"AAAAAFn539I=",0)</f>
        <v>0</v>
      </c>
      <c r="HD7" t="e">
        <f>AND('Ark1'!A293,"AAAAAFn539M=")</f>
        <v>#VALUE!</v>
      </c>
      <c r="HE7" t="e">
        <f>AND('Ark1'!B293,"AAAAAFn539Q=")</f>
        <v>#VALUE!</v>
      </c>
      <c r="HF7" t="e">
        <f>AND('Ark1'!C293,"AAAAAFn539U=")</f>
        <v>#VALUE!</v>
      </c>
      <c r="HG7" t="e">
        <f>AND('Ark1'!D293,"AAAAAFn539Y=")</f>
        <v>#VALUE!</v>
      </c>
      <c r="HH7" t="e">
        <f>AND('Ark1'!E294,"AAAAAFn539c=")</f>
        <v>#VALUE!</v>
      </c>
      <c r="HI7">
        <f>IF('Ark1'!295:295,"AAAAAFn539g=",0)</f>
        <v>0</v>
      </c>
      <c r="HJ7" t="e">
        <f>AND('Ark1'!A294,"AAAAAFn539k=")</f>
        <v>#VALUE!</v>
      </c>
      <c r="HK7" t="e">
        <f>AND('Ark1'!B294,"AAAAAFn539o=")</f>
        <v>#VALUE!</v>
      </c>
      <c r="HL7" t="e">
        <f>AND('Ark1'!C294,"AAAAAFn539s=")</f>
        <v>#VALUE!</v>
      </c>
      <c r="HM7" t="e">
        <f>AND('Ark1'!D294,"AAAAAFn539w=")</f>
        <v>#VALUE!</v>
      </c>
      <c r="HN7" t="e">
        <f>AND('Ark1'!E295,"AAAAAFn5390=")</f>
        <v>#VALUE!</v>
      </c>
      <c r="HO7">
        <f>IF('Ark1'!296:296,"AAAAAFn5394=",0)</f>
        <v>0</v>
      </c>
      <c r="HP7" t="e">
        <f>AND('Ark1'!A295,"AAAAAFn5398=")</f>
        <v>#VALUE!</v>
      </c>
      <c r="HQ7" t="e">
        <f>AND('Ark1'!B295,"AAAAAFn53+A=")</f>
        <v>#VALUE!</v>
      </c>
      <c r="HR7" t="e">
        <f>AND('Ark1'!C295,"AAAAAFn53+E=")</f>
        <v>#VALUE!</v>
      </c>
      <c r="HS7" t="e">
        <f>AND('Ark1'!D295,"AAAAAFn53+I=")</f>
        <v>#VALUE!</v>
      </c>
      <c r="HT7" t="e">
        <f>AND('Ark1'!E296,"AAAAAFn53+M=")</f>
        <v>#VALUE!</v>
      </c>
      <c r="HU7">
        <f>IF('Ark1'!297:297,"AAAAAFn53+Q=",0)</f>
        <v>0</v>
      </c>
      <c r="HV7" t="e">
        <f>AND('Ark1'!A296,"AAAAAFn53+U=")</f>
        <v>#VALUE!</v>
      </c>
      <c r="HW7" t="e">
        <f>AND('Ark1'!B296,"AAAAAFn53+Y=")</f>
        <v>#VALUE!</v>
      </c>
      <c r="HX7" t="e">
        <f>AND('Ark1'!C296,"AAAAAFn53+c=")</f>
        <v>#VALUE!</v>
      </c>
      <c r="HY7" t="e">
        <f>AND('Ark1'!D296,"AAAAAFn53+g=")</f>
        <v>#VALUE!</v>
      </c>
      <c r="HZ7" t="e">
        <f>AND('Ark1'!E297,"AAAAAFn53+k=")</f>
        <v>#VALUE!</v>
      </c>
      <c r="IA7">
        <f>IF('Ark1'!298:298,"AAAAAFn53+o=",0)</f>
        <v>0</v>
      </c>
      <c r="IB7" t="e">
        <f>AND('Ark1'!A297,"AAAAAFn53+s=")</f>
        <v>#VALUE!</v>
      </c>
      <c r="IC7" t="e">
        <f>AND('Ark1'!B297,"AAAAAFn53+w=")</f>
        <v>#VALUE!</v>
      </c>
      <c r="ID7" t="e">
        <f>AND('Ark1'!C297,"AAAAAFn53+0=")</f>
        <v>#VALUE!</v>
      </c>
      <c r="IE7" t="e">
        <f>AND('Ark1'!D297,"AAAAAFn53+4=")</f>
        <v>#VALUE!</v>
      </c>
      <c r="IF7" t="e">
        <f>AND('Ark1'!E298,"AAAAAFn53+8=")</f>
        <v>#VALUE!</v>
      </c>
      <c r="IG7">
        <f>IF('Ark1'!299:299,"AAAAAFn53/A=",0)</f>
        <v>0</v>
      </c>
      <c r="IH7" t="e">
        <f>AND('Ark1'!A298,"AAAAAFn53/E=")</f>
        <v>#VALUE!</v>
      </c>
      <c r="II7" t="e">
        <f>AND('Ark1'!B298,"AAAAAFn53/I=")</f>
        <v>#VALUE!</v>
      </c>
      <c r="IJ7" t="e">
        <f>AND('Ark1'!C298,"AAAAAFn53/M=")</f>
        <v>#VALUE!</v>
      </c>
      <c r="IK7" t="e">
        <f>AND('Ark1'!D298,"AAAAAFn53/Q=")</f>
        <v>#VALUE!</v>
      </c>
      <c r="IL7" t="e">
        <f>AND('Ark1'!E299,"AAAAAFn53/U=")</f>
        <v>#VALUE!</v>
      </c>
      <c r="IM7">
        <f>IF('Ark1'!300:300,"AAAAAFn53/Y=",0)</f>
        <v>0</v>
      </c>
      <c r="IN7" t="e">
        <f>AND('Ark1'!A299,"AAAAAFn53/c=")</f>
        <v>#VALUE!</v>
      </c>
      <c r="IO7" t="e">
        <f>AND('Ark1'!B299,"AAAAAFn53/g=")</f>
        <v>#VALUE!</v>
      </c>
      <c r="IP7" t="e">
        <f>AND('Ark1'!C299,"AAAAAFn53/k=")</f>
        <v>#VALUE!</v>
      </c>
      <c r="IQ7" t="e">
        <f>AND('Ark1'!D299,"AAAAAFn53/o=")</f>
        <v>#VALUE!</v>
      </c>
      <c r="IR7" t="e">
        <f>AND('Ark1'!E300,"AAAAAFn53/s=")</f>
        <v>#VALUE!</v>
      </c>
      <c r="IS7">
        <f>IF('Ark1'!301:301,"AAAAAFn53/w=",0)</f>
        <v>0</v>
      </c>
      <c r="IT7" t="e">
        <f>AND('Ark1'!A300,"AAAAAFn53/0=")</f>
        <v>#VALUE!</v>
      </c>
      <c r="IU7" t="e">
        <f>AND('Ark1'!B300,"AAAAAFn53/4=")</f>
        <v>#VALUE!</v>
      </c>
      <c r="IV7" t="e">
        <f>AND('Ark1'!C300,"AAAAAFn53/8=")</f>
        <v>#VALUE!</v>
      </c>
    </row>
    <row r="8" spans="1:256" x14ac:dyDescent="0.25">
      <c r="A8" t="e">
        <f>AND('Ark1'!D300,"AAAAACy39QA=")</f>
        <v>#VALUE!</v>
      </c>
      <c r="B8" t="e">
        <f>AND('Ark1'!E301,"AAAAACy39QE=")</f>
        <v>#VALUE!</v>
      </c>
      <c r="C8">
        <f>IF('Ark1'!302:302,"AAAAACy39QI=",0)</f>
        <v>0</v>
      </c>
      <c r="D8" t="e">
        <f>AND('Ark1'!A301,"AAAAACy39QM=")</f>
        <v>#VALUE!</v>
      </c>
      <c r="E8" t="e">
        <f>AND('Ark1'!B301,"AAAAACy39QQ=")</f>
        <v>#VALUE!</v>
      </c>
      <c r="F8" t="e">
        <f>AND('Ark1'!C301,"AAAAACy39QU=")</f>
        <v>#VALUE!</v>
      </c>
      <c r="G8" t="e">
        <f>AND('Ark1'!D301,"AAAAACy39QY=")</f>
        <v>#VALUE!</v>
      </c>
      <c r="H8" t="e">
        <f>AND('Ark1'!E302,"AAAAACy39Qc=")</f>
        <v>#VALUE!</v>
      </c>
      <c r="I8">
        <f>IF('Ark1'!303:303,"AAAAACy39Qg=",0)</f>
        <v>0</v>
      </c>
      <c r="J8" t="e">
        <f>AND('Ark1'!A302,"AAAAACy39Qk=")</f>
        <v>#VALUE!</v>
      </c>
      <c r="K8" t="e">
        <f>AND('Ark1'!B302,"AAAAACy39Qo=")</f>
        <v>#VALUE!</v>
      </c>
      <c r="L8" t="e">
        <f>AND('Ark1'!C302,"AAAAACy39Qs=")</f>
        <v>#VALUE!</v>
      </c>
      <c r="M8" t="e">
        <f>AND('Ark1'!D302,"AAAAACy39Qw=")</f>
        <v>#VALUE!</v>
      </c>
      <c r="N8" t="e">
        <f>AND('Ark1'!E303,"AAAAACy39Q0=")</f>
        <v>#VALUE!</v>
      </c>
      <c r="O8">
        <f>IF('Ark1'!304:304,"AAAAACy39Q4=",0)</f>
        <v>0</v>
      </c>
      <c r="P8" t="e">
        <f>AND('Ark1'!A303,"AAAAACy39Q8=")</f>
        <v>#VALUE!</v>
      </c>
      <c r="Q8" t="e">
        <f>AND('Ark1'!B303,"AAAAACy39RA=")</f>
        <v>#VALUE!</v>
      </c>
      <c r="R8" t="e">
        <f>AND('Ark1'!C303,"AAAAACy39RE=")</f>
        <v>#VALUE!</v>
      </c>
      <c r="S8" t="e">
        <f>AND('Ark1'!D303,"AAAAACy39RI=")</f>
        <v>#VALUE!</v>
      </c>
      <c r="T8" t="e">
        <f>AND('Ark1'!E304,"AAAAACy39RM=")</f>
        <v>#VALUE!</v>
      </c>
      <c r="U8">
        <f>IF('Ark1'!305:305,"AAAAACy39RQ=",0)</f>
        <v>0</v>
      </c>
      <c r="V8" t="e">
        <f>AND('Ark1'!A304,"AAAAACy39RU=")</f>
        <v>#VALUE!</v>
      </c>
      <c r="W8" t="e">
        <f>AND('Ark1'!B304,"AAAAACy39RY=")</f>
        <v>#VALUE!</v>
      </c>
      <c r="X8" t="e">
        <f>AND('Ark1'!C304,"AAAAACy39Rc=")</f>
        <v>#VALUE!</v>
      </c>
      <c r="Y8" t="e">
        <f>AND('Ark1'!D304,"AAAAACy39Rg=")</f>
        <v>#VALUE!</v>
      </c>
      <c r="Z8" t="e">
        <f>AND('Ark1'!E305,"AAAAACy39Rk=")</f>
        <v>#VALUE!</v>
      </c>
      <c r="AA8">
        <f>IF('Ark1'!306:306,"AAAAACy39Ro=",0)</f>
        <v>0</v>
      </c>
      <c r="AB8" t="e">
        <f>AND('Ark1'!A305,"AAAAACy39Rs=")</f>
        <v>#VALUE!</v>
      </c>
      <c r="AC8" t="e">
        <f>AND('Ark1'!B305,"AAAAACy39Rw=")</f>
        <v>#VALUE!</v>
      </c>
      <c r="AD8" t="e">
        <f>AND('Ark1'!C305,"AAAAACy39R0=")</f>
        <v>#VALUE!</v>
      </c>
      <c r="AE8" t="e">
        <f>AND('Ark1'!D305,"AAAAACy39R4=")</f>
        <v>#VALUE!</v>
      </c>
      <c r="AF8" t="e">
        <f>AND('Ark1'!E306,"AAAAACy39R8=")</f>
        <v>#VALUE!</v>
      </c>
      <c r="AG8">
        <f>IF('Ark1'!307:307,"AAAAACy39SA=",0)</f>
        <v>0</v>
      </c>
      <c r="AH8" t="e">
        <f>AND('Ark1'!A306,"AAAAACy39SE=")</f>
        <v>#VALUE!</v>
      </c>
      <c r="AI8" t="e">
        <f>AND('Ark1'!B306,"AAAAACy39SI=")</f>
        <v>#VALUE!</v>
      </c>
      <c r="AJ8" t="e">
        <f>AND('Ark1'!C306,"AAAAACy39SM=")</f>
        <v>#VALUE!</v>
      </c>
      <c r="AK8" t="e">
        <f>AND('Ark1'!D306,"AAAAACy39SQ=")</f>
        <v>#VALUE!</v>
      </c>
      <c r="AL8" t="e">
        <f>AND('Ark1'!E307,"AAAAACy39SU=")</f>
        <v>#VALUE!</v>
      </c>
      <c r="AM8">
        <f>IF('Ark1'!308:308,"AAAAACy39SY=",0)</f>
        <v>0</v>
      </c>
      <c r="AN8" t="e">
        <f>AND('Ark1'!A307,"AAAAACy39Sc=")</f>
        <v>#VALUE!</v>
      </c>
      <c r="AO8" t="e">
        <f>AND('Ark1'!B307,"AAAAACy39Sg=")</f>
        <v>#VALUE!</v>
      </c>
      <c r="AP8" t="e">
        <f>AND('Ark1'!C307,"AAAAACy39Sk=")</f>
        <v>#VALUE!</v>
      </c>
      <c r="AQ8" t="e">
        <f>AND('Ark1'!D307,"AAAAACy39So=")</f>
        <v>#VALUE!</v>
      </c>
      <c r="AR8" t="e">
        <f>AND('Ark1'!E308,"AAAAACy39Ss=")</f>
        <v>#VALUE!</v>
      </c>
      <c r="AS8">
        <f>IF('Ark1'!309:309,"AAAAACy39Sw=",0)</f>
        <v>0</v>
      </c>
      <c r="AT8" t="e">
        <f>AND('Ark1'!A308,"AAAAACy39S0=")</f>
        <v>#VALUE!</v>
      </c>
      <c r="AU8" t="e">
        <f>AND('Ark1'!B308,"AAAAACy39S4=")</f>
        <v>#VALUE!</v>
      </c>
      <c r="AV8" t="e">
        <f>AND('Ark1'!C308,"AAAAACy39S8=")</f>
        <v>#VALUE!</v>
      </c>
      <c r="AW8" t="e">
        <f>AND('Ark1'!D308,"AAAAACy39TA=")</f>
        <v>#VALUE!</v>
      </c>
      <c r="AX8" t="e">
        <f>AND('Ark1'!E309,"AAAAACy39TE=")</f>
        <v>#VALUE!</v>
      </c>
      <c r="AY8">
        <f>IF('Ark1'!310:310,"AAAAACy39TI=",0)</f>
        <v>0</v>
      </c>
      <c r="AZ8" t="e">
        <f>AND('Ark1'!A309,"AAAAACy39TM=")</f>
        <v>#VALUE!</v>
      </c>
      <c r="BA8" t="e">
        <f>AND('Ark1'!B309,"AAAAACy39TQ=")</f>
        <v>#VALUE!</v>
      </c>
      <c r="BB8" t="e">
        <f>AND('Ark1'!C309,"AAAAACy39TU=")</f>
        <v>#VALUE!</v>
      </c>
      <c r="BC8" t="e">
        <f>AND('Ark1'!D309,"AAAAACy39TY=")</f>
        <v>#VALUE!</v>
      </c>
      <c r="BD8" t="e">
        <f>AND('Ark1'!E310,"AAAAACy39Tc=")</f>
        <v>#VALUE!</v>
      </c>
      <c r="BE8">
        <f>IF('Ark1'!311:311,"AAAAACy39Tg=",0)</f>
        <v>0</v>
      </c>
      <c r="BF8" t="e">
        <f>AND('Ark1'!A310,"AAAAACy39Tk=")</f>
        <v>#VALUE!</v>
      </c>
      <c r="BG8" t="e">
        <f>AND('Ark1'!B310,"AAAAACy39To=")</f>
        <v>#VALUE!</v>
      </c>
      <c r="BH8" t="e">
        <f>AND('Ark1'!C310,"AAAAACy39Ts=")</f>
        <v>#VALUE!</v>
      </c>
      <c r="BI8" t="e">
        <f>AND('Ark1'!D310,"AAAAACy39Tw=")</f>
        <v>#VALUE!</v>
      </c>
      <c r="BJ8" t="e">
        <f>AND('Ark1'!E311,"AAAAACy39T0=")</f>
        <v>#VALUE!</v>
      </c>
      <c r="BK8">
        <f>IF('Ark1'!312:312,"AAAAACy39T4=",0)</f>
        <v>0</v>
      </c>
      <c r="BL8" t="e">
        <f>AND('Ark1'!A311,"AAAAACy39T8=")</f>
        <v>#VALUE!</v>
      </c>
      <c r="BM8" t="e">
        <f>AND('Ark1'!B311,"AAAAACy39UA=")</f>
        <v>#VALUE!</v>
      </c>
      <c r="BN8" t="e">
        <f>AND('Ark1'!C311,"AAAAACy39UE=")</f>
        <v>#VALUE!</v>
      </c>
      <c r="BO8" t="e">
        <f>AND('Ark1'!D311,"AAAAACy39UI=")</f>
        <v>#VALUE!</v>
      </c>
      <c r="BP8" t="e">
        <f>AND('Ark1'!E312,"AAAAACy39UM=")</f>
        <v>#VALUE!</v>
      </c>
      <c r="BQ8">
        <f>IF('Ark1'!313:313,"AAAAACy39UQ=",0)</f>
        <v>0</v>
      </c>
      <c r="BR8" t="e">
        <f>AND('Ark1'!A312,"AAAAACy39UU=")</f>
        <v>#VALUE!</v>
      </c>
      <c r="BS8" t="e">
        <f>AND('Ark1'!B312,"AAAAACy39UY=")</f>
        <v>#VALUE!</v>
      </c>
      <c r="BT8" t="e">
        <f>AND('Ark1'!C312,"AAAAACy39Uc=")</f>
        <v>#VALUE!</v>
      </c>
      <c r="BU8" t="e">
        <f>AND('Ark1'!D312,"AAAAACy39Ug=")</f>
        <v>#VALUE!</v>
      </c>
      <c r="BV8" t="e">
        <f>AND('Ark1'!E313,"AAAAACy39Uk=")</f>
        <v>#VALUE!</v>
      </c>
      <c r="BW8">
        <f>IF('Ark1'!314:314,"AAAAACy39Uo=",0)</f>
        <v>0</v>
      </c>
      <c r="BX8" t="e">
        <f>AND('Ark1'!A313,"AAAAACy39Us=")</f>
        <v>#VALUE!</v>
      </c>
      <c r="BY8" t="e">
        <f>AND('Ark1'!B313,"AAAAACy39Uw=")</f>
        <v>#VALUE!</v>
      </c>
      <c r="BZ8" t="e">
        <f>AND('Ark1'!C313,"AAAAACy39U0=")</f>
        <v>#VALUE!</v>
      </c>
      <c r="CA8" t="e">
        <f>AND('Ark1'!D313,"AAAAACy39U4=")</f>
        <v>#VALUE!</v>
      </c>
      <c r="CB8" t="e">
        <f>AND('Ark1'!E314,"AAAAACy39U8=")</f>
        <v>#VALUE!</v>
      </c>
      <c r="CC8">
        <f>IF('Ark1'!315:315,"AAAAACy39VA=",0)</f>
        <v>0</v>
      </c>
      <c r="CD8" t="e">
        <f>AND('Ark1'!A314,"AAAAACy39VE=")</f>
        <v>#VALUE!</v>
      </c>
      <c r="CE8" t="e">
        <f>AND('Ark1'!B314,"AAAAACy39VI=")</f>
        <v>#VALUE!</v>
      </c>
      <c r="CF8" t="e">
        <f>AND('Ark1'!C314,"AAAAACy39VM=")</f>
        <v>#VALUE!</v>
      </c>
      <c r="CG8" t="e">
        <f>AND('Ark1'!D314,"AAAAACy39VQ=")</f>
        <v>#VALUE!</v>
      </c>
      <c r="CH8" t="e">
        <f>AND('Ark1'!E315,"AAAAACy39VU=")</f>
        <v>#VALUE!</v>
      </c>
      <c r="CI8">
        <f>IF('Ark1'!316:316,"AAAAACy39VY=",0)</f>
        <v>0</v>
      </c>
      <c r="CJ8" t="e">
        <f>AND('Ark1'!A315,"AAAAACy39Vc=")</f>
        <v>#VALUE!</v>
      </c>
      <c r="CK8" t="e">
        <f>AND('Ark1'!B315,"AAAAACy39Vg=")</f>
        <v>#VALUE!</v>
      </c>
      <c r="CL8" t="e">
        <f>AND('Ark1'!C315,"AAAAACy39Vk=")</f>
        <v>#VALUE!</v>
      </c>
      <c r="CM8" t="e">
        <f>AND('Ark1'!D315,"AAAAACy39Vo=")</f>
        <v>#VALUE!</v>
      </c>
      <c r="CN8" t="e">
        <f>AND('Ark1'!E316,"AAAAACy39Vs=")</f>
        <v>#VALUE!</v>
      </c>
      <c r="CO8">
        <f>IF('Ark1'!317:317,"AAAAACy39Vw=",0)</f>
        <v>0</v>
      </c>
      <c r="CP8" t="e">
        <f>AND('Ark1'!A316,"AAAAACy39V0=")</f>
        <v>#VALUE!</v>
      </c>
      <c r="CQ8" t="e">
        <f>AND('Ark1'!B316,"AAAAACy39V4=")</f>
        <v>#VALUE!</v>
      </c>
      <c r="CR8" t="e">
        <f>AND('Ark1'!C316,"AAAAACy39V8=")</f>
        <v>#VALUE!</v>
      </c>
      <c r="CS8" t="e">
        <f>AND('Ark1'!D316,"AAAAACy39WA=")</f>
        <v>#VALUE!</v>
      </c>
      <c r="CT8" t="e">
        <f>AND('Ark1'!E317,"AAAAACy39WE=")</f>
        <v>#VALUE!</v>
      </c>
      <c r="CU8">
        <f>IF('Ark1'!318:318,"AAAAACy39WI=",0)</f>
        <v>0</v>
      </c>
      <c r="CV8" t="e">
        <f>AND('Ark1'!A317,"AAAAACy39WM=")</f>
        <v>#VALUE!</v>
      </c>
      <c r="CW8" t="e">
        <f>AND('Ark1'!B317,"AAAAACy39WQ=")</f>
        <v>#VALUE!</v>
      </c>
      <c r="CX8" t="e">
        <f>AND('Ark1'!C317,"AAAAACy39WU=")</f>
        <v>#VALUE!</v>
      </c>
      <c r="CY8" t="e">
        <f>AND('Ark1'!D317,"AAAAACy39WY=")</f>
        <v>#VALUE!</v>
      </c>
      <c r="CZ8" t="e">
        <f>AND('Ark1'!E318,"AAAAACy39Wc=")</f>
        <v>#VALUE!</v>
      </c>
      <c r="DA8">
        <f>IF('Ark1'!319:319,"AAAAACy39Wg=",0)</f>
        <v>0</v>
      </c>
      <c r="DB8" t="e">
        <f>AND('Ark1'!A318,"AAAAACy39Wk=")</f>
        <v>#VALUE!</v>
      </c>
      <c r="DC8" t="e">
        <f>AND('Ark1'!B318,"AAAAACy39Wo=")</f>
        <v>#VALUE!</v>
      </c>
      <c r="DD8" t="e">
        <f>AND('Ark1'!C318,"AAAAACy39Ws=")</f>
        <v>#VALUE!</v>
      </c>
      <c r="DE8" t="e">
        <f>AND('Ark1'!D318,"AAAAACy39Ww=")</f>
        <v>#VALUE!</v>
      </c>
      <c r="DF8" t="e">
        <f>AND('Ark1'!E319,"AAAAACy39W0=")</f>
        <v>#VALUE!</v>
      </c>
      <c r="DG8">
        <f>IF('Ark1'!320:320,"AAAAACy39W4=",0)</f>
        <v>0</v>
      </c>
      <c r="DH8" t="e">
        <f>AND('Ark1'!A319,"AAAAACy39W8=")</f>
        <v>#VALUE!</v>
      </c>
      <c r="DI8" t="e">
        <f>AND('Ark1'!B319,"AAAAACy39XA=")</f>
        <v>#VALUE!</v>
      </c>
      <c r="DJ8" t="e">
        <f>AND('Ark1'!C319,"AAAAACy39XE=")</f>
        <v>#VALUE!</v>
      </c>
      <c r="DK8" t="e">
        <f>AND('Ark1'!D319,"AAAAACy39XI=")</f>
        <v>#VALUE!</v>
      </c>
      <c r="DL8" t="e">
        <f>AND('Ark1'!E320,"AAAAACy39XM=")</f>
        <v>#VALUE!</v>
      </c>
      <c r="DM8">
        <f>IF('Ark1'!321:321,"AAAAACy39XQ=",0)</f>
        <v>0</v>
      </c>
      <c r="DN8" t="e">
        <f>AND('Ark1'!A320,"AAAAACy39XU=")</f>
        <v>#VALUE!</v>
      </c>
      <c r="DO8" t="e">
        <f>AND('Ark1'!B320,"AAAAACy39XY=")</f>
        <v>#VALUE!</v>
      </c>
      <c r="DP8" t="e">
        <f>AND('Ark1'!C320,"AAAAACy39Xc=")</f>
        <v>#VALUE!</v>
      </c>
      <c r="DQ8" t="e">
        <f>AND('Ark1'!D320,"AAAAACy39Xg=")</f>
        <v>#VALUE!</v>
      </c>
      <c r="DR8" t="e">
        <f>AND('Ark1'!E321,"AAAAACy39Xk=")</f>
        <v>#VALUE!</v>
      </c>
      <c r="DS8">
        <f>IF('Ark1'!322:322,"AAAAACy39Xo=",0)</f>
        <v>0</v>
      </c>
      <c r="DT8" t="e">
        <f>AND('Ark1'!A321,"AAAAACy39Xs=")</f>
        <v>#VALUE!</v>
      </c>
      <c r="DU8" t="e">
        <f>AND('Ark1'!B321,"AAAAACy39Xw=")</f>
        <v>#VALUE!</v>
      </c>
      <c r="DV8" t="e">
        <f>AND('Ark1'!C321,"AAAAACy39X0=")</f>
        <v>#VALUE!</v>
      </c>
      <c r="DW8" t="e">
        <f>AND('Ark1'!D321,"AAAAACy39X4=")</f>
        <v>#VALUE!</v>
      </c>
      <c r="DX8" t="e">
        <f>AND('Ark1'!E322,"AAAAACy39X8=")</f>
        <v>#VALUE!</v>
      </c>
      <c r="DY8">
        <f>IF('Ark1'!323:323,"AAAAACy39YA=",0)</f>
        <v>0</v>
      </c>
      <c r="DZ8" t="e">
        <f>AND('Ark1'!A322,"AAAAACy39YE=")</f>
        <v>#VALUE!</v>
      </c>
      <c r="EA8" t="e">
        <f>AND('Ark1'!B322,"AAAAACy39YI=")</f>
        <v>#VALUE!</v>
      </c>
      <c r="EB8" t="e">
        <f>AND('Ark1'!C322,"AAAAACy39YM=")</f>
        <v>#VALUE!</v>
      </c>
      <c r="EC8" t="e">
        <f>AND('Ark1'!D322,"AAAAACy39YQ=")</f>
        <v>#VALUE!</v>
      </c>
      <c r="ED8" t="e">
        <f>AND('Ark1'!E323,"AAAAACy39YU=")</f>
        <v>#VALUE!</v>
      </c>
      <c r="EE8">
        <f>IF('Ark1'!324:324,"AAAAACy39YY=",0)</f>
        <v>0</v>
      </c>
      <c r="EF8" t="e">
        <f>AND('Ark1'!A323,"AAAAACy39Yc=")</f>
        <v>#VALUE!</v>
      </c>
      <c r="EG8" t="e">
        <f>AND('Ark1'!B323,"AAAAACy39Yg=")</f>
        <v>#VALUE!</v>
      </c>
      <c r="EH8" t="e">
        <f>AND('Ark1'!C323,"AAAAACy39Yk=")</f>
        <v>#VALUE!</v>
      </c>
      <c r="EI8" t="e">
        <f>AND('Ark1'!D323,"AAAAACy39Yo=")</f>
        <v>#VALUE!</v>
      </c>
      <c r="EJ8" t="e">
        <f>AND('Ark1'!E324,"AAAAACy39Ys=")</f>
        <v>#VALUE!</v>
      </c>
      <c r="EK8">
        <f>IF('Ark1'!325:325,"AAAAACy39Yw=",0)</f>
        <v>0</v>
      </c>
      <c r="EL8" t="e">
        <f>AND('Ark1'!A324,"AAAAACy39Y0=")</f>
        <v>#VALUE!</v>
      </c>
      <c r="EM8" t="e">
        <f>AND('Ark1'!B324,"AAAAACy39Y4=")</f>
        <v>#VALUE!</v>
      </c>
      <c r="EN8" t="e">
        <f>AND('Ark1'!C324,"AAAAACy39Y8=")</f>
        <v>#VALUE!</v>
      </c>
      <c r="EO8" t="e">
        <f>AND('Ark1'!D324,"AAAAACy39ZA=")</f>
        <v>#VALUE!</v>
      </c>
      <c r="EP8" t="e">
        <f>AND('Ark1'!E325,"AAAAACy39ZE=")</f>
        <v>#VALUE!</v>
      </c>
      <c r="EQ8">
        <f>IF('Ark1'!326:326,"AAAAACy39ZI=",0)</f>
        <v>0</v>
      </c>
      <c r="ER8" t="e">
        <f>AND('Ark1'!A325,"AAAAACy39ZM=")</f>
        <v>#VALUE!</v>
      </c>
      <c r="ES8" t="e">
        <f>AND('Ark1'!B325,"AAAAACy39ZQ=")</f>
        <v>#VALUE!</v>
      </c>
      <c r="ET8" t="e">
        <f>AND('Ark1'!C325,"AAAAACy39ZU=")</f>
        <v>#VALUE!</v>
      </c>
      <c r="EU8" t="e">
        <f>AND('Ark1'!D325,"AAAAACy39ZY=")</f>
        <v>#VALUE!</v>
      </c>
      <c r="EV8" t="e">
        <f>AND('Ark1'!E326,"AAAAACy39Zc=")</f>
        <v>#VALUE!</v>
      </c>
      <c r="EW8">
        <f>IF('Ark1'!327:327,"AAAAACy39Zg=",0)</f>
        <v>0</v>
      </c>
      <c r="EX8" t="e">
        <f>AND('Ark1'!A326,"AAAAACy39Zk=")</f>
        <v>#VALUE!</v>
      </c>
      <c r="EY8" t="e">
        <f>AND('Ark1'!B326,"AAAAACy39Zo=")</f>
        <v>#VALUE!</v>
      </c>
      <c r="EZ8" t="e">
        <f>AND('Ark1'!C326,"AAAAACy39Zs=")</f>
        <v>#VALUE!</v>
      </c>
      <c r="FA8" t="e">
        <f>AND('Ark1'!D326,"AAAAACy39Zw=")</f>
        <v>#VALUE!</v>
      </c>
      <c r="FB8" t="e">
        <f>AND('Ark1'!E327,"AAAAACy39Z0=")</f>
        <v>#VALUE!</v>
      </c>
      <c r="FC8">
        <f>IF('Ark1'!328:328,"AAAAACy39Z4=",0)</f>
        <v>0</v>
      </c>
      <c r="FD8" t="e">
        <f>AND('Ark1'!A327,"AAAAACy39Z8=")</f>
        <v>#VALUE!</v>
      </c>
      <c r="FE8" t="e">
        <f>AND('Ark1'!B327,"AAAAACy39aA=")</f>
        <v>#VALUE!</v>
      </c>
      <c r="FF8" t="e">
        <f>AND('Ark1'!C327,"AAAAACy39aE=")</f>
        <v>#VALUE!</v>
      </c>
      <c r="FG8" t="e">
        <f>AND('Ark1'!D327,"AAAAACy39aI=")</f>
        <v>#VALUE!</v>
      </c>
      <c r="FH8" t="e">
        <f>AND('Ark1'!E328,"AAAAACy39aM=")</f>
        <v>#VALUE!</v>
      </c>
      <c r="FI8">
        <f>IF('Ark1'!329:329,"AAAAACy39aQ=",0)</f>
        <v>0</v>
      </c>
      <c r="FJ8" t="e">
        <f>AND('Ark1'!A328,"AAAAACy39aU=")</f>
        <v>#VALUE!</v>
      </c>
      <c r="FK8" t="e">
        <f>AND('Ark1'!B328,"AAAAACy39aY=")</f>
        <v>#VALUE!</v>
      </c>
      <c r="FL8" t="e">
        <f>AND('Ark1'!C328,"AAAAACy39ac=")</f>
        <v>#VALUE!</v>
      </c>
      <c r="FM8" t="e">
        <f>AND('Ark1'!D328,"AAAAACy39ag=")</f>
        <v>#VALUE!</v>
      </c>
      <c r="FN8" t="e">
        <f>AND('Ark1'!E329,"AAAAACy39ak=")</f>
        <v>#VALUE!</v>
      </c>
      <c r="FO8">
        <f>IF('Ark1'!330:330,"AAAAACy39ao=",0)</f>
        <v>0</v>
      </c>
      <c r="FP8" t="e">
        <f>AND('Ark1'!A329,"AAAAACy39as=")</f>
        <v>#VALUE!</v>
      </c>
      <c r="FQ8" t="e">
        <f>AND('Ark1'!B329,"AAAAACy39aw=")</f>
        <v>#VALUE!</v>
      </c>
      <c r="FR8" t="e">
        <f>AND('Ark1'!C329,"AAAAACy39a0=")</f>
        <v>#VALUE!</v>
      </c>
      <c r="FS8" t="e">
        <f>AND('Ark1'!D329,"AAAAACy39a4=")</f>
        <v>#VALUE!</v>
      </c>
      <c r="FT8" t="e">
        <f>AND('Ark1'!E330,"AAAAACy39a8=")</f>
        <v>#VALUE!</v>
      </c>
      <c r="FU8">
        <f>IF('Ark1'!331:331,"AAAAACy39bA=",0)</f>
        <v>0</v>
      </c>
      <c r="FV8" t="e">
        <f>AND('Ark1'!A330,"AAAAACy39bE=")</f>
        <v>#VALUE!</v>
      </c>
      <c r="FW8" t="e">
        <f>AND('Ark1'!B330,"AAAAACy39bI=")</f>
        <v>#VALUE!</v>
      </c>
      <c r="FX8" t="e">
        <f>AND('Ark1'!C330,"AAAAACy39bM=")</f>
        <v>#VALUE!</v>
      </c>
      <c r="FY8" t="e">
        <f>AND('Ark1'!D330,"AAAAACy39bQ=")</f>
        <v>#VALUE!</v>
      </c>
      <c r="FZ8" t="e">
        <f>AND('Ark1'!E331,"AAAAACy39bU=")</f>
        <v>#VALUE!</v>
      </c>
      <c r="GA8">
        <f>IF('Ark1'!332:332,"AAAAACy39bY=",0)</f>
        <v>0</v>
      </c>
      <c r="GB8" t="e">
        <f>AND('Ark1'!A331,"AAAAACy39bc=")</f>
        <v>#VALUE!</v>
      </c>
      <c r="GC8" t="e">
        <f>AND('Ark1'!B331,"AAAAACy39bg=")</f>
        <v>#VALUE!</v>
      </c>
      <c r="GD8" t="e">
        <f>AND('Ark1'!C331,"AAAAACy39bk=")</f>
        <v>#VALUE!</v>
      </c>
      <c r="GE8" t="e">
        <f>AND('Ark1'!D331,"AAAAACy39bo=")</f>
        <v>#VALUE!</v>
      </c>
      <c r="GF8" t="e">
        <f>AND('Ark1'!E332,"AAAAACy39bs=")</f>
        <v>#VALUE!</v>
      </c>
      <c r="GG8">
        <f>IF('Ark1'!333:333,"AAAAACy39bw=",0)</f>
        <v>0</v>
      </c>
      <c r="GH8" t="e">
        <f>AND('Ark1'!A332,"AAAAACy39b0=")</f>
        <v>#VALUE!</v>
      </c>
      <c r="GI8" t="e">
        <f>AND('Ark1'!B332,"AAAAACy39b4=")</f>
        <v>#VALUE!</v>
      </c>
      <c r="GJ8" t="e">
        <f>AND('Ark1'!C332,"AAAAACy39b8=")</f>
        <v>#VALUE!</v>
      </c>
      <c r="GK8" t="e">
        <f>AND('Ark1'!D332,"AAAAACy39cA=")</f>
        <v>#VALUE!</v>
      </c>
      <c r="GL8" t="e">
        <f>AND('Ark1'!E333,"AAAAACy39cE=")</f>
        <v>#VALUE!</v>
      </c>
      <c r="GM8">
        <f>IF('Ark1'!334:334,"AAAAACy39cI=",0)</f>
        <v>0</v>
      </c>
      <c r="GN8" t="e">
        <f>AND('Ark1'!A333,"AAAAACy39cM=")</f>
        <v>#VALUE!</v>
      </c>
      <c r="GO8" t="e">
        <f>AND('Ark1'!B333,"AAAAACy39cQ=")</f>
        <v>#VALUE!</v>
      </c>
      <c r="GP8" t="e">
        <f>AND('Ark1'!C333,"AAAAACy39cU=")</f>
        <v>#VALUE!</v>
      </c>
      <c r="GQ8" t="e">
        <f>AND('Ark1'!D333,"AAAAACy39cY=")</f>
        <v>#VALUE!</v>
      </c>
      <c r="GR8" t="e">
        <f>AND('Ark1'!E334,"AAAAACy39cc=")</f>
        <v>#VALUE!</v>
      </c>
      <c r="GS8">
        <f>IF('Ark1'!335:335,"AAAAACy39cg=",0)</f>
        <v>0</v>
      </c>
      <c r="GT8" t="e">
        <f>AND('Ark1'!A334,"AAAAACy39ck=")</f>
        <v>#VALUE!</v>
      </c>
      <c r="GU8" t="e">
        <f>AND('Ark1'!B334,"AAAAACy39co=")</f>
        <v>#VALUE!</v>
      </c>
      <c r="GV8" t="e">
        <f>AND('Ark1'!C334,"AAAAACy39cs=")</f>
        <v>#VALUE!</v>
      </c>
      <c r="GW8" t="e">
        <f>AND('Ark1'!D334,"AAAAACy39cw=")</f>
        <v>#VALUE!</v>
      </c>
      <c r="GX8" t="e">
        <f>AND('Ark1'!E335,"AAAAACy39c0=")</f>
        <v>#VALUE!</v>
      </c>
      <c r="GY8">
        <f>IF('Ark1'!336:336,"AAAAACy39c4=",0)</f>
        <v>0</v>
      </c>
      <c r="GZ8" t="e">
        <f>AND('Ark1'!A335,"AAAAACy39c8=")</f>
        <v>#VALUE!</v>
      </c>
      <c r="HA8" t="e">
        <f>AND('Ark1'!B335,"AAAAACy39dA=")</f>
        <v>#VALUE!</v>
      </c>
      <c r="HB8" t="e">
        <f>AND('Ark1'!C335,"AAAAACy39dE=")</f>
        <v>#VALUE!</v>
      </c>
      <c r="HC8" t="e">
        <f>AND('Ark1'!D335,"AAAAACy39dI=")</f>
        <v>#VALUE!</v>
      </c>
      <c r="HD8" t="e">
        <f>AND('Ark1'!E336,"AAAAACy39dM=")</f>
        <v>#VALUE!</v>
      </c>
      <c r="HE8">
        <f>IF('Ark1'!337:337,"AAAAACy39dQ=",0)</f>
        <v>0</v>
      </c>
      <c r="HF8" t="e">
        <f>AND('Ark1'!A336,"AAAAACy39dU=")</f>
        <v>#VALUE!</v>
      </c>
      <c r="HG8" t="e">
        <f>AND('Ark1'!B336,"AAAAACy39dY=")</f>
        <v>#VALUE!</v>
      </c>
      <c r="HH8" t="e">
        <f>AND('Ark1'!C336,"AAAAACy39dc=")</f>
        <v>#VALUE!</v>
      </c>
      <c r="HI8" t="e">
        <f>AND('Ark1'!D336,"AAAAACy39dg=")</f>
        <v>#VALUE!</v>
      </c>
      <c r="HJ8" t="e">
        <f>AND('Ark1'!E337,"AAAAACy39dk=")</f>
        <v>#VALUE!</v>
      </c>
      <c r="HK8">
        <f>IF('Ark1'!338:338,"AAAAACy39do=",0)</f>
        <v>0</v>
      </c>
      <c r="HL8" t="e">
        <f>AND('Ark1'!A337,"AAAAACy39ds=")</f>
        <v>#VALUE!</v>
      </c>
      <c r="HM8" t="e">
        <f>AND('Ark1'!B337,"AAAAACy39dw=")</f>
        <v>#VALUE!</v>
      </c>
      <c r="HN8" t="e">
        <f>AND('Ark1'!C337,"AAAAACy39d0=")</f>
        <v>#VALUE!</v>
      </c>
      <c r="HO8" t="e">
        <f>AND('Ark1'!D337,"AAAAACy39d4=")</f>
        <v>#VALUE!</v>
      </c>
      <c r="HP8" t="e">
        <f>AND('Ark1'!E338,"AAAAACy39d8=")</f>
        <v>#VALUE!</v>
      </c>
      <c r="HQ8">
        <f>IF('Ark1'!339:339,"AAAAACy39eA=",0)</f>
        <v>0</v>
      </c>
      <c r="HR8" t="e">
        <f>AND('Ark1'!A338,"AAAAACy39eE=")</f>
        <v>#VALUE!</v>
      </c>
      <c r="HS8" t="e">
        <f>AND('Ark1'!B338,"AAAAACy39eI=")</f>
        <v>#VALUE!</v>
      </c>
      <c r="HT8" t="e">
        <f>AND('Ark1'!C338,"AAAAACy39eM=")</f>
        <v>#VALUE!</v>
      </c>
      <c r="HU8" t="e">
        <f>AND('Ark1'!D338,"AAAAACy39eQ=")</f>
        <v>#VALUE!</v>
      </c>
      <c r="HV8" t="e">
        <f>AND('Ark1'!E339,"AAAAACy39eU=")</f>
        <v>#VALUE!</v>
      </c>
      <c r="HW8">
        <f>IF('Ark1'!340:340,"AAAAACy39eY=",0)</f>
        <v>0</v>
      </c>
      <c r="HX8" t="e">
        <f>AND('Ark1'!A339,"AAAAACy39ec=")</f>
        <v>#VALUE!</v>
      </c>
      <c r="HY8" t="e">
        <f>AND('Ark1'!B339,"AAAAACy39eg=")</f>
        <v>#VALUE!</v>
      </c>
      <c r="HZ8" t="e">
        <f>AND('Ark1'!C339,"AAAAACy39ek=")</f>
        <v>#VALUE!</v>
      </c>
      <c r="IA8" t="e">
        <f>AND('Ark1'!D339,"AAAAACy39eo=")</f>
        <v>#VALUE!</v>
      </c>
      <c r="IB8" t="e">
        <f>AND('Ark1'!E340,"AAAAACy39es=")</f>
        <v>#VALUE!</v>
      </c>
      <c r="IC8">
        <f>IF('Ark1'!341:341,"AAAAACy39ew=",0)</f>
        <v>0</v>
      </c>
      <c r="ID8" t="e">
        <f>AND('Ark1'!A340,"AAAAACy39e0=")</f>
        <v>#VALUE!</v>
      </c>
      <c r="IE8" t="e">
        <f>AND('Ark1'!B340,"AAAAACy39e4=")</f>
        <v>#VALUE!</v>
      </c>
      <c r="IF8" t="e">
        <f>AND('Ark1'!C340,"AAAAACy39e8=")</f>
        <v>#VALUE!</v>
      </c>
      <c r="IG8" t="e">
        <f>AND('Ark1'!D340,"AAAAACy39fA=")</f>
        <v>#VALUE!</v>
      </c>
      <c r="IH8" t="e">
        <f>AND('Ark1'!E341,"AAAAACy39fE=")</f>
        <v>#VALUE!</v>
      </c>
      <c r="II8">
        <f>IF('Ark1'!342:342,"AAAAACy39fI=",0)</f>
        <v>0</v>
      </c>
      <c r="IJ8" t="e">
        <f>AND('Ark1'!A341,"AAAAACy39fM=")</f>
        <v>#VALUE!</v>
      </c>
      <c r="IK8" t="e">
        <f>AND('Ark1'!B341,"AAAAACy39fQ=")</f>
        <v>#VALUE!</v>
      </c>
      <c r="IL8" t="e">
        <f>AND('Ark1'!C341,"AAAAACy39fU=")</f>
        <v>#VALUE!</v>
      </c>
      <c r="IM8" t="e">
        <f>AND('Ark1'!D341,"AAAAACy39fY=")</f>
        <v>#VALUE!</v>
      </c>
      <c r="IN8" t="e">
        <f>AND('Ark1'!E342,"AAAAACy39fc=")</f>
        <v>#VALUE!</v>
      </c>
      <c r="IO8">
        <f>IF('Ark1'!343:343,"AAAAACy39fg=",0)</f>
        <v>0</v>
      </c>
      <c r="IP8" t="e">
        <f>AND('Ark1'!A342,"AAAAACy39fk=")</f>
        <v>#VALUE!</v>
      </c>
      <c r="IQ8" t="e">
        <f>AND('Ark1'!B342,"AAAAACy39fo=")</f>
        <v>#VALUE!</v>
      </c>
      <c r="IR8" t="e">
        <f>AND('Ark1'!C342,"AAAAACy39fs=")</f>
        <v>#VALUE!</v>
      </c>
      <c r="IS8" t="e">
        <f>AND('Ark1'!D342,"AAAAACy39fw=")</f>
        <v>#VALUE!</v>
      </c>
      <c r="IT8" t="e">
        <f>AND('Ark1'!E343,"AAAAACy39f0=")</f>
        <v>#VALUE!</v>
      </c>
      <c r="IU8">
        <f>IF('Ark1'!344:344,"AAAAACy39f4=",0)</f>
        <v>0</v>
      </c>
      <c r="IV8" t="e">
        <f>AND('Ark1'!A343,"AAAAACy39f8=")</f>
        <v>#VALUE!</v>
      </c>
    </row>
    <row r="9" spans="1:256" x14ac:dyDescent="0.25">
      <c r="A9" t="e">
        <f>AND('Ark1'!B343,"AAAAAGvT/wA=")</f>
        <v>#VALUE!</v>
      </c>
      <c r="B9" t="e">
        <f>AND('Ark1'!C343,"AAAAAGvT/wE=")</f>
        <v>#VALUE!</v>
      </c>
      <c r="C9" t="e">
        <f>AND('Ark1'!D343,"AAAAAGvT/wI=")</f>
        <v>#VALUE!</v>
      </c>
      <c r="D9" t="e">
        <f>AND('Ark1'!E344,"AAAAAGvT/wM=")</f>
        <v>#VALUE!</v>
      </c>
      <c r="E9">
        <f>IF('Ark1'!345:345,"AAAAAGvT/wQ=",0)</f>
        <v>0</v>
      </c>
      <c r="F9" t="e">
        <f>AND('Ark1'!A344,"AAAAAGvT/wU=")</f>
        <v>#VALUE!</v>
      </c>
      <c r="G9" t="e">
        <f>AND('Ark1'!B344,"AAAAAGvT/wY=")</f>
        <v>#VALUE!</v>
      </c>
      <c r="H9" t="e">
        <f>AND('Ark1'!C344,"AAAAAGvT/wc=")</f>
        <v>#VALUE!</v>
      </c>
      <c r="I9" t="e">
        <f>AND('Ark1'!D344,"AAAAAGvT/wg=")</f>
        <v>#VALUE!</v>
      </c>
      <c r="J9" t="e">
        <f>AND('Ark1'!E345,"AAAAAGvT/wk=")</f>
        <v>#VALUE!</v>
      </c>
      <c r="K9">
        <f>IF('Ark1'!346:346,"AAAAAGvT/wo=",0)</f>
        <v>0</v>
      </c>
      <c r="L9" t="e">
        <f>AND('Ark1'!A345,"AAAAAGvT/ws=")</f>
        <v>#VALUE!</v>
      </c>
      <c r="M9" t="e">
        <f>AND('Ark1'!B345,"AAAAAGvT/ww=")</f>
        <v>#VALUE!</v>
      </c>
      <c r="N9" t="e">
        <f>AND('Ark1'!C345,"AAAAAGvT/w0=")</f>
        <v>#VALUE!</v>
      </c>
      <c r="O9" t="e">
        <f>AND('Ark1'!D345,"AAAAAGvT/w4=")</f>
        <v>#VALUE!</v>
      </c>
      <c r="P9" t="e">
        <f>AND('Ark1'!E346,"AAAAAGvT/w8=")</f>
        <v>#VALUE!</v>
      </c>
      <c r="Q9">
        <f>IF('Ark1'!347:347,"AAAAAGvT/xA=",0)</f>
        <v>0</v>
      </c>
      <c r="R9" t="e">
        <f>AND('Ark1'!A346,"AAAAAGvT/xE=")</f>
        <v>#VALUE!</v>
      </c>
      <c r="S9" t="e">
        <f>AND('Ark1'!B346,"AAAAAGvT/xI=")</f>
        <v>#VALUE!</v>
      </c>
      <c r="T9" t="e">
        <f>AND('Ark1'!C346,"AAAAAGvT/xM=")</f>
        <v>#VALUE!</v>
      </c>
      <c r="U9" t="e">
        <f>AND('Ark1'!D346,"AAAAAGvT/xQ=")</f>
        <v>#VALUE!</v>
      </c>
      <c r="V9" t="e">
        <f>AND('Ark1'!E347,"AAAAAGvT/xU=")</f>
        <v>#VALUE!</v>
      </c>
      <c r="W9">
        <f>IF('Ark1'!348:348,"AAAAAGvT/xY=",0)</f>
        <v>0</v>
      </c>
      <c r="X9" t="e">
        <f>AND('Ark1'!A347,"AAAAAGvT/xc=")</f>
        <v>#VALUE!</v>
      </c>
      <c r="Y9" t="e">
        <f>AND('Ark1'!B347,"AAAAAGvT/xg=")</f>
        <v>#VALUE!</v>
      </c>
      <c r="Z9" t="e">
        <f>AND('Ark1'!C347,"AAAAAGvT/xk=")</f>
        <v>#VALUE!</v>
      </c>
      <c r="AA9" t="e">
        <f>AND('Ark1'!D347,"AAAAAGvT/xo=")</f>
        <v>#VALUE!</v>
      </c>
      <c r="AB9" t="e">
        <f>AND('Ark1'!E348,"AAAAAGvT/xs=")</f>
        <v>#VALUE!</v>
      </c>
      <c r="AC9">
        <f>IF('Ark1'!349:349,"AAAAAGvT/xw=",0)</f>
        <v>0</v>
      </c>
      <c r="AD9" t="e">
        <f>AND('Ark1'!A348,"AAAAAGvT/x0=")</f>
        <v>#VALUE!</v>
      </c>
      <c r="AE9" t="e">
        <f>AND('Ark1'!B348,"AAAAAGvT/x4=")</f>
        <v>#VALUE!</v>
      </c>
      <c r="AF9" t="e">
        <f>AND('Ark1'!C348,"AAAAAGvT/x8=")</f>
        <v>#VALUE!</v>
      </c>
      <c r="AG9" t="e">
        <f>AND('Ark1'!D348,"AAAAAGvT/yA=")</f>
        <v>#VALUE!</v>
      </c>
      <c r="AH9" t="e">
        <f>AND('Ark1'!E349,"AAAAAGvT/yE=")</f>
        <v>#VALUE!</v>
      </c>
      <c r="AI9">
        <f>IF('Ark1'!350:350,"AAAAAGvT/yI=",0)</f>
        <v>0</v>
      </c>
      <c r="AJ9" t="e">
        <f>AND('Ark1'!A349,"AAAAAGvT/yM=")</f>
        <v>#VALUE!</v>
      </c>
      <c r="AK9" t="e">
        <f>AND('Ark1'!B349,"AAAAAGvT/yQ=")</f>
        <v>#VALUE!</v>
      </c>
      <c r="AL9" t="e">
        <f>AND('Ark1'!C349,"AAAAAGvT/yU=")</f>
        <v>#VALUE!</v>
      </c>
      <c r="AM9" t="e">
        <f>AND('Ark1'!D349,"AAAAAGvT/yY=")</f>
        <v>#VALUE!</v>
      </c>
      <c r="AN9" t="e">
        <f>AND('Ark1'!E350,"AAAAAGvT/yc=")</f>
        <v>#VALUE!</v>
      </c>
      <c r="AO9">
        <f>IF('Ark1'!351:351,"AAAAAGvT/yg=",0)</f>
        <v>0</v>
      </c>
      <c r="AP9" t="e">
        <f>AND('Ark1'!A350,"AAAAAGvT/yk=")</f>
        <v>#VALUE!</v>
      </c>
      <c r="AQ9" t="e">
        <f>AND('Ark1'!B350,"AAAAAGvT/yo=")</f>
        <v>#VALUE!</v>
      </c>
      <c r="AR9" t="e">
        <f>AND('Ark1'!C350,"AAAAAGvT/ys=")</f>
        <v>#VALUE!</v>
      </c>
      <c r="AS9" t="e">
        <f>AND('Ark1'!D350,"AAAAAGvT/yw=")</f>
        <v>#VALUE!</v>
      </c>
      <c r="AT9" t="e">
        <f>AND('Ark1'!E351,"AAAAAGvT/y0=")</f>
        <v>#VALUE!</v>
      </c>
      <c r="AU9">
        <f>IF('Ark1'!352:352,"AAAAAGvT/y4=",0)</f>
        <v>0</v>
      </c>
      <c r="AV9" t="e">
        <f>AND('Ark1'!A351,"AAAAAGvT/y8=")</f>
        <v>#VALUE!</v>
      </c>
      <c r="AW9" t="e">
        <f>AND('Ark1'!B351,"AAAAAGvT/zA=")</f>
        <v>#VALUE!</v>
      </c>
      <c r="AX9" t="e">
        <f>AND('Ark1'!C351,"AAAAAGvT/zE=")</f>
        <v>#VALUE!</v>
      </c>
      <c r="AY9" t="e">
        <f>AND('Ark1'!D351,"AAAAAGvT/zI=")</f>
        <v>#VALUE!</v>
      </c>
      <c r="AZ9" t="e">
        <f>AND('Ark1'!E352,"AAAAAGvT/zM=")</f>
        <v>#VALUE!</v>
      </c>
      <c r="BA9">
        <f>IF('Ark1'!353:353,"AAAAAGvT/zQ=",0)</f>
        <v>0</v>
      </c>
      <c r="BB9" t="e">
        <f>AND('Ark1'!A352,"AAAAAGvT/zU=")</f>
        <v>#VALUE!</v>
      </c>
      <c r="BC9" t="e">
        <f>AND('Ark1'!B352,"AAAAAGvT/zY=")</f>
        <v>#VALUE!</v>
      </c>
      <c r="BD9" t="e">
        <f>AND('Ark1'!C352,"AAAAAGvT/zc=")</f>
        <v>#VALUE!</v>
      </c>
      <c r="BE9" t="e">
        <f>AND('Ark1'!D352,"AAAAAGvT/zg=")</f>
        <v>#VALUE!</v>
      </c>
      <c r="BF9" t="e">
        <f>AND('Ark1'!E353,"AAAAAGvT/zk=")</f>
        <v>#VALUE!</v>
      </c>
      <c r="BG9">
        <f>IF('Ark1'!354:354,"AAAAAGvT/zo=",0)</f>
        <v>0</v>
      </c>
      <c r="BH9" t="e">
        <f>AND('Ark1'!A353,"AAAAAGvT/zs=")</f>
        <v>#VALUE!</v>
      </c>
      <c r="BI9" t="e">
        <f>AND('Ark1'!B353,"AAAAAGvT/zw=")</f>
        <v>#VALUE!</v>
      </c>
      <c r="BJ9" t="e">
        <f>AND('Ark1'!C353,"AAAAAGvT/z0=")</f>
        <v>#VALUE!</v>
      </c>
      <c r="BK9" t="e">
        <f>AND('Ark1'!D353,"AAAAAGvT/z4=")</f>
        <v>#VALUE!</v>
      </c>
      <c r="BL9" t="e">
        <f>AND('Ark1'!E354,"AAAAAGvT/z8=")</f>
        <v>#VALUE!</v>
      </c>
      <c r="BM9">
        <f>IF('Ark1'!355:355,"AAAAAGvT/0A=",0)</f>
        <v>0</v>
      </c>
      <c r="BN9" t="e">
        <f>AND('Ark1'!A354,"AAAAAGvT/0E=")</f>
        <v>#VALUE!</v>
      </c>
      <c r="BO9" t="e">
        <f>AND('Ark1'!B354,"AAAAAGvT/0I=")</f>
        <v>#VALUE!</v>
      </c>
      <c r="BP9" t="e">
        <f>AND('Ark1'!C354,"AAAAAGvT/0M=")</f>
        <v>#VALUE!</v>
      </c>
      <c r="BQ9" t="e">
        <f>AND('Ark1'!D354,"AAAAAGvT/0Q=")</f>
        <v>#VALUE!</v>
      </c>
      <c r="BR9" t="e">
        <f>AND('Ark1'!E355,"AAAAAGvT/0U=")</f>
        <v>#VALUE!</v>
      </c>
      <c r="BS9">
        <f>IF('Ark1'!356:356,"AAAAAGvT/0Y=",0)</f>
        <v>0</v>
      </c>
      <c r="BT9" t="e">
        <f>AND('Ark1'!A355,"AAAAAGvT/0c=")</f>
        <v>#VALUE!</v>
      </c>
      <c r="BU9" t="e">
        <f>AND('Ark1'!B355,"AAAAAGvT/0g=")</f>
        <v>#VALUE!</v>
      </c>
      <c r="BV9" t="e">
        <f>AND('Ark1'!C355,"AAAAAGvT/0k=")</f>
        <v>#VALUE!</v>
      </c>
      <c r="BW9" t="e">
        <f>AND('Ark1'!D355,"AAAAAGvT/0o=")</f>
        <v>#VALUE!</v>
      </c>
      <c r="BX9" t="e">
        <f>AND('Ark1'!E356,"AAAAAGvT/0s=")</f>
        <v>#VALUE!</v>
      </c>
      <c r="BY9">
        <f>IF('Ark1'!357:357,"AAAAAGvT/0w=",0)</f>
        <v>0</v>
      </c>
      <c r="BZ9" t="e">
        <f>AND('Ark1'!A356,"AAAAAGvT/00=")</f>
        <v>#VALUE!</v>
      </c>
      <c r="CA9" t="e">
        <f>AND('Ark1'!B356,"AAAAAGvT/04=")</f>
        <v>#VALUE!</v>
      </c>
      <c r="CB9" t="e">
        <f>AND('Ark1'!C356,"AAAAAGvT/08=")</f>
        <v>#VALUE!</v>
      </c>
      <c r="CC9" t="e">
        <f>AND('Ark1'!D356,"AAAAAGvT/1A=")</f>
        <v>#VALUE!</v>
      </c>
      <c r="CD9" t="e">
        <f>AND('Ark1'!E357,"AAAAAGvT/1E=")</f>
        <v>#VALUE!</v>
      </c>
      <c r="CE9">
        <f>IF('Ark1'!358:358,"AAAAAGvT/1I=",0)</f>
        <v>0</v>
      </c>
      <c r="CF9" t="e">
        <f>AND('Ark1'!A357,"AAAAAGvT/1M=")</f>
        <v>#VALUE!</v>
      </c>
      <c r="CG9" t="e">
        <f>AND('Ark1'!B357,"AAAAAGvT/1Q=")</f>
        <v>#VALUE!</v>
      </c>
      <c r="CH9" t="e">
        <f>AND('Ark1'!C357,"AAAAAGvT/1U=")</f>
        <v>#VALUE!</v>
      </c>
      <c r="CI9" t="e">
        <f>AND('Ark1'!D357,"AAAAAGvT/1Y=")</f>
        <v>#VALUE!</v>
      </c>
      <c r="CJ9" t="e">
        <f>AND('Ark1'!E358,"AAAAAGvT/1c=")</f>
        <v>#VALUE!</v>
      </c>
      <c r="CK9">
        <f>IF('Ark1'!359:359,"AAAAAGvT/1g=",0)</f>
        <v>0</v>
      </c>
      <c r="CL9" t="e">
        <f>AND('Ark1'!A358,"AAAAAGvT/1k=")</f>
        <v>#VALUE!</v>
      </c>
      <c r="CM9" t="e">
        <f>AND('Ark1'!B358,"AAAAAGvT/1o=")</f>
        <v>#VALUE!</v>
      </c>
      <c r="CN9" t="e">
        <f>AND('Ark1'!C358,"AAAAAGvT/1s=")</f>
        <v>#VALUE!</v>
      </c>
      <c r="CO9" t="e">
        <f>AND('Ark1'!D358,"AAAAAGvT/1w=")</f>
        <v>#VALUE!</v>
      </c>
      <c r="CP9" t="e">
        <f>AND('Ark1'!E359,"AAAAAGvT/10=")</f>
        <v>#VALUE!</v>
      </c>
      <c r="CQ9">
        <f>IF('Ark1'!360:360,"AAAAAGvT/14=",0)</f>
        <v>0</v>
      </c>
      <c r="CR9" t="e">
        <f>AND('Ark1'!A359,"AAAAAGvT/18=")</f>
        <v>#VALUE!</v>
      </c>
      <c r="CS9" t="e">
        <f>AND('Ark1'!B359,"AAAAAGvT/2A=")</f>
        <v>#VALUE!</v>
      </c>
      <c r="CT9" t="e">
        <f>AND('Ark1'!C359,"AAAAAGvT/2E=")</f>
        <v>#VALUE!</v>
      </c>
      <c r="CU9" t="e">
        <f>AND('Ark1'!D359,"AAAAAGvT/2I=")</f>
        <v>#VALUE!</v>
      </c>
      <c r="CV9" t="e">
        <f>AND('Ark1'!E360,"AAAAAGvT/2M=")</f>
        <v>#VALUE!</v>
      </c>
      <c r="CW9">
        <f>IF('Ark1'!361:361,"AAAAAGvT/2Q=",0)</f>
        <v>0</v>
      </c>
      <c r="CX9" t="e">
        <f>AND('Ark1'!A360,"AAAAAGvT/2U=")</f>
        <v>#VALUE!</v>
      </c>
      <c r="CY9" t="e">
        <f>AND('Ark1'!B360,"AAAAAGvT/2Y=")</f>
        <v>#VALUE!</v>
      </c>
      <c r="CZ9" t="e">
        <f>AND('Ark1'!C360,"AAAAAGvT/2c=")</f>
        <v>#VALUE!</v>
      </c>
      <c r="DA9" t="e">
        <f>AND('Ark1'!D360,"AAAAAGvT/2g=")</f>
        <v>#VALUE!</v>
      </c>
      <c r="DB9" t="e">
        <f>AND('Ark1'!E361,"AAAAAGvT/2k=")</f>
        <v>#VALUE!</v>
      </c>
      <c r="DC9">
        <f>IF('Ark1'!362:362,"AAAAAGvT/2o=",0)</f>
        <v>0</v>
      </c>
      <c r="DD9" t="e">
        <f>AND('Ark1'!A361,"AAAAAGvT/2s=")</f>
        <v>#VALUE!</v>
      </c>
      <c r="DE9" t="e">
        <f>AND('Ark1'!B361,"AAAAAGvT/2w=")</f>
        <v>#VALUE!</v>
      </c>
      <c r="DF9" t="e">
        <f>AND('Ark1'!C361,"AAAAAGvT/20=")</f>
        <v>#VALUE!</v>
      </c>
      <c r="DG9" t="e">
        <f>AND('Ark1'!D361,"AAAAAGvT/24=")</f>
        <v>#VALUE!</v>
      </c>
      <c r="DH9" t="e">
        <f>AND('Ark1'!E362,"AAAAAGvT/28=")</f>
        <v>#VALUE!</v>
      </c>
      <c r="DI9">
        <f>IF('Ark1'!363:363,"AAAAAGvT/3A=",0)</f>
        <v>0</v>
      </c>
      <c r="DJ9" t="e">
        <f>AND('Ark1'!A362,"AAAAAGvT/3E=")</f>
        <v>#VALUE!</v>
      </c>
      <c r="DK9" t="e">
        <f>AND('Ark1'!B362,"AAAAAGvT/3I=")</f>
        <v>#VALUE!</v>
      </c>
      <c r="DL9" t="e">
        <f>AND('Ark1'!C362,"AAAAAGvT/3M=")</f>
        <v>#VALUE!</v>
      </c>
      <c r="DM9" t="e">
        <f>AND('Ark1'!D362,"AAAAAGvT/3Q=")</f>
        <v>#VALUE!</v>
      </c>
      <c r="DN9" t="e">
        <f>AND('Ark1'!E363,"AAAAAGvT/3U=")</f>
        <v>#VALUE!</v>
      </c>
      <c r="DO9">
        <f>IF('Ark1'!364:364,"AAAAAGvT/3Y=",0)</f>
        <v>0</v>
      </c>
      <c r="DP9" t="e">
        <f>AND('Ark1'!A363,"AAAAAGvT/3c=")</f>
        <v>#VALUE!</v>
      </c>
      <c r="DQ9" t="e">
        <f>AND('Ark1'!B363,"AAAAAGvT/3g=")</f>
        <v>#VALUE!</v>
      </c>
      <c r="DR9" t="e">
        <f>AND('Ark1'!C363,"AAAAAGvT/3k=")</f>
        <v>#VALUE!</v>
      </c>
      <c r="DS9" t="e">
        <f>AND('Ark1'!D363,"AAAAAGvT/3o=")</f>
        <v>#VALUE!</v>
      </c>
      <c r="DT9" t="e">
        <f>AND('Ark1'!E364,"AAAAAGvT/3s=")</f>
        <v>#VALUE!</v>
      </c>
      <c r="DU9">
        <f>IF('Ark1'!365:365,"AAAAAGvT/3w=",0)</f>
        <v>0</v>
      </c>
      <c r="DV9" t="e">
        <f>AND('Ark1'!A364,"AAAAAGvT/30=")</f>
        <v>#VALUE!</v>
      </c>
      <c r="DW9" t="e">
        <f>AND('Ark1'!B364,"AAAAAGvT/34=")</f>
        <v>#VALUE!</v>
      </c>
      <c r="DX9" t="e">
        <f>AND('Ark1'!C364,"AAAAAGvT/38=")</f>
        <v>#VALUE!</v>
      </c>
      <c r="DY9" t="e">
        <f>AND('Ark1'!D364,"AAAAAGvT/4A=")</f>
        <v>#VALUE!</v>
      </c>
      <c r="DZ9" t="e">
        <f>AND('Ark1'!E365,"AAAAAGvT/4E=")</f>
        <v>#VALUE!</v>
      </c>
      <c r="EA9">
        <f>IF('Ark1'!366:366,"AAAAAGvT/4I=",0)</f>
        <v>0</v>
      </c>
      <c r="EB9" t="e">
        <f>AND('Ark1'!A365,"AAAAAGvT/4M=")</f>
        <v>#VALUE!</v>
      </c>
      <c r="EC9" t="e">
        <f>AND('Ark1'!B365,"AAAAAGvT/4Q=")</f>
        <v>#VALUE!</v>
      </c>
      <c r="ED9" t="e">
        <f>AND('Ark1'!C365,"AAAAAGvT/4U=")</f>
        <v>#VALUE!</v>
      </c>
      <c r="EE9" t="e">
        <f>AND('Ark1'!D365,"AAAAAGvT/4Y=")</f>
        <v>#VALUE!</v>
      </c>
      <c r="EF9" t="e">
        <f>AND('Ark1'!E366,"AAAAAGvT/4c=")</f>
        <v>#VALUE!</v>
      </c>
      <c r="EG9">
        <f>IF('Ark1'!367:367,"AAAAAGvT/4g=",0)</f>
        <v>0</v>
      </c>
      <c r="EH9" t="e">
        <f>AND('Ark1'!A366,"AAAAAGvT/4k=")</f>
        <v>#VALUE!</v>
      </c>
      <c r="EI9" t="e">
        <f>AND('Ark1'!B366,"AAAAAGvT/4o=")</f>
        <v>#VALUE!</v>
      </c>
      <c r="EJ9" t="e">
        <f>AND('Ark1'!C366,"AAAAAGvT/4s=")</f>
        <v>#VALUE!</v>
      </c>
      <c r="EK9" t="e">
        <f>AND('Ark1'!D366,"AAAAAGvT/4w=")</f>
        <v>#VALUE!</v>
      </c>
      <c r="EL9" t="e">
        <f>AND('Ark1'!E367,"AAAAAGvT/40=")</f>
        <v>#VALUE!</v>
      </c>
      <c r="EM9">
        <f>IF('Ark1'!368:368,"AAAAAGvT/44=",0)</f>
        <v>0</v>
      </c>
      <c r="EN9" t="e">
        <f>AND('Ark1'!A367,"AAAAAGvT/48=")</f>
        <v>#VALUE!</v>
      </c>
      <c r="EO9" t="e">
        <f>AND('Ark1'!B367,"AAAAAGvT/5A=")</f>
        <v>#VALUE!</v>
      </c>
      <c r="EP9" t="e">
        <f>AND('Ark1'!C367,"AAAAAGvT/5E=")</f>
        <v>#VALUE!</v>
      </c>
      <c r="EQ9" t="e">
        <f>AND('Ark1'!D367,"AAAAAGvT/5I=")</f>
        <v>#VALUE!</v>
      </c>
      <c r="ER9" t="e">
        <f>AND('Ark1'!E368,"AAAAAGvT/5M=")</f>
        <v>#VALUE!</v>
      </c>
      <c r="ES9">
        <f>IF('Ark1'!369:369,"AAAAAGvT/5Q=",0)</f>
        <v>0</v>
      </c>
      <c r="ET9" t="e">
        <f>AND('Ark1'!A368,"AAAAAGvT/5U=")</f>
        <v>#VALUE!</v>
      </c>
      <c r="EU9" t="e">
        <f>AND('Ark1'!B368,"AAAAAGvT/5Y=")</f>
        <v>#VALUE!</v>
      </c>
      <c r="EV9" t="e">
        <f>AND('Ark1'!C368,"AAAAAGvT/5c=")</f>
        <v>#VALUE!</v>
      </c>
      <c r="EW9" t="e">
        <f>AND('Ark1'!D368,"AAAAAGvT/5g=")</f>
        <v>#VALUE!</v>
      </c>
      <c r="EX9" t="e">
        <f>AND('Ark1'!E369,"AAAAAGvT/5k=")</f>
        <v>#VALUE!</v>
      </c>
      <c r="EY9">
        <f>IF('Ark1'!370:370,"AAAAAGvT/5o=",0)</f>
        <v>0</v>
      </c>
      <c r="EZ9" t="e">
        <f>AND('Ark1'!A369,"AAAAAGvT/5s=")</f>
        <v>#VALUE!</v>
      </c>
      <c r="FA9" t="e">
        <f>AND('Ark1'!B369,"AAAAAGvT/5w=")</f>
        <v>#VALUE!</v>
      </c>
      <c r="FB9" t="e">
        <f>AND('Ark1'!C369,"AAAAAGvT/50=")</f>
        <v>#VALUE!</v>
      </c>
      <c r="FC9" t="e">
        <f>AND('Ark1'!D369,"AAAAAGvT/54=")</f>
        <v>#VALUE!</v>
      </c>
      <c r="FD9" t="e">
        <f>AND('Ark1'!E370,"AAAAAGvT/58=")</f>
        <v>#VALUE!</v>
      </c>
      <c r="FE9">
        <f>IF('Ark1'!371:371,"AAAAAGvT/6A=",0)</f>
        <v>0</v>
      </c>
      <c r="FF9" t="e">
        <f>AND('Ark1'!A370,"AAAAAGvT/6E=")</f>
        <v>#VALUE!</v>
      </c>
      <c r="FG9" t="e">
        <f>AND('Ark1'!B370,"AAAAAGvT/6I=")</f>
        <v>#VALUE!</v>
      </c>
      <c r="FH9" t="e">
        <f>AND('Ark1'!C370,"AAAAAGvT/6M=")</f>
        <v>#VALUE!</v>
      </c>
      <c r="FI9" t="e">
        <f>AND('Ark1'!D370,"AAAAAGvT/6Q=")</f>
        <v>#VALUE!</v>
      </c>
      <c r="FJ9" t="e">
        <f>AND('Ark1'!E371,"AAAAAGvT/6U=")</f>
        <v>#VALUE!</v>
      </c>
      <c r="FK9">
        <f>IF('Ark1'!372:372,"AAAAAGvT/6Y=",0)</f>
        <v>0</v>
      </c>
      <c r="FL9" t="e">
        <f>AND('Ark1'!A371,"AAAAAGvT/6c=")</f>
        <v>#VALUE!</v>
      </c>
      <c r="FM9" t="e">
        <f>AND('Ark1'!B371,"AAAAAGvT/6g=")</f>
        <v>#VALUE!</v>
      </c>
      <c r="FN9" t="e">
        <f>AND('Ark1'!C371,"AAAAAGvT/6k=")</f>
        <v>#VALUE!</v>
      </c>
      <c r="FO9" t="e">
        <f>AND('Ark1'!D371,"AAAAAGvT/6o=")</f>
        <v>#VALUE!</v>
      </c>
      <c r="FP9" t="e">
        <f>AND('Ark1'!E372,"AAAAAGvT/6s=")</f>
        <v>#VALUE!</v>
      </c>
      <c r="FQ9">
        <f>IF('Ark1'!373:373,"AAAAAGvT/6w=",0)</f>
        <v>0</v>
      </c>
      <c r="FR9" t="e">
        <f>AND('Ark1'!A372,"AAAAAGvT/60=")</f>
        <v>#VALUE!</v>
      </c>
      <c r="FS9" t="e">
        <f>AND('Ark1'!B372,"AAAAAGvT/64=")</f>
        <v>#VALUE!</v>
      </c>
      <c r="FT9" t="e">
        <f>AND('Ark1'!C372,"AAAAAGvT/68=")</f>
        <v>#VALUE!</v>
      </c>
      <c r="FU9" t="e">
        <f>AND('Ark1'!D372,"AAAAAGvT/7A=")</f>
        <v>#VALUE!</v>
      </c>
      <c r="FV9" t="e">
        <f>AND('Ark1'!E373,"AAAAAGvT/7E=")</f>
        <v>#VALUE!</v>
      </c>
      <c r="FW9">
        <f>IF('Ark1'!374:374,"AAAAAGvT/7I=",0)</f>
        <v>0</v>
      </c>
      <c r="FX9" t="e">
        <f>AND('Ark1'!A373,"AAAAAGvT/7M=")</f>
        <v>#VALUE!</v>
      </c>
      <c r="FY9" t="e">
        <f>AND('Ark1'!B373,"AAAAAGvT/7Q=")</f>
        <v>#VALUE!</v>
      </c>
      <c r="FZ9" t="e">
        <f>AND('Ark1'!C373,"AAAAAGvT/7U=")</f>
        <v>#VALUE!</v>
      </c>
      <c r="GA9" t="e">
        <f>AND('Ark1'!D373,"AAAAAGvT/7Y=")</f>
        <v>#VALUE!</v>
      </c>
      <c r="GB9" t="e">
        <f>AND('Ark1'!E374,"AAAAAGvT/7c=")</f>
        <v>#VALUE!</v>
      </c>
      <c r="GC9">
        <f>IF('Ark1'!375:375,"AAAAAGvT/7g=",0)</f>
        <v>0</v>
      </c>
      <c r="GD9" t="e">
        <f>AND('Ark1'!A374,"AAAAAGvT/7k=")</f>
        <v>#VALUE!</v>
      </c>
      <c r="GE9" t="e">
        <f>AND('Ark1'!B374,"AAAAAGvT/7o=")</f>
        <v>#VALUE!</v>
      </c>
      <c r="GF9" t="e">
        <f>AND('Ark1'!C374,"AAAAAGvT/7s=")</f>
        <v>#VALUE!</v>
      </c>
      <c r="GG9" t="e">
        <f>AND('Ark1'!D374,"AAAAAGvT/7w=")</f>
        <v>#VALUE!</v>
      </c>
      <c r="GH9" t="e">
        <f>AND('Ark1'!E375,"AAAAAGvT/70=")</f>
        <v>#VALUE!</v>
      </c>
      <c r="GI9">
        <f>IF('Ark1'!376:376,"AAAAAGvT/74=",0)</f>
        <v>0</v>
      </c>
      <c r="GJ9" t="e">
        <f>AND('Ark1'!A375,"AAAAAGvT/78=")</f>
        <v>#VALUE!</v>
      </c>
      <c r="GK9" t="e">
        <f>AND('Ark1'!B375,"AAAAAGvT/8A=")</f>
        <v>#VALUE!</v>
      </c>
      <c r="GL9" t="e">
        <f>AND('Ark1'!C375,"AAAAAGvT/8E=")</f>
        <v>#VALUE!</v>
      </c>
      <c r="GM9" t="e">
        <f>AND('Ark1'!D375,"AAAAAGvT/8I=")</f>
        <v>#VALUE!</v>
      </c>
      <c r="GN9" t="e">
        <f>AND('Ark1'!E376,"AAAAAGvT/8M=")</f>
        <v>#VALUE!</v>
      </c>
      <c r="GO9">
        <f>IF('Ark1'!377:377,"AAAAAGvT/8Q=",0)</f>
        <v>0</v>
      </c>
      <c r="GP9" t="e">
        <f>AND('Ark1'!A376,"AAAAAGvT/8U=")</f>
        <v>#VALUE!</v>
      </c>
      <c r="GQ9" t="e">
        <f>AND('Ark1'!B376,"AAAAAGvT/8Y=")</f>
        <v>#VALUE!</v>
      </c>
      <c r="GR9" t="e">
        <f>AND('Ark1'!C376,"AAAAAGvT/8c=")</f>
        <v>#VALUE!</v>
      </c>
      <c r="GS9" t="e">
        <f>AND('Ark1'!D376,"AAAAAGvT/8g=")</f>
        <v>#VALUE!</v>
      </c>
      <c r="GT9" t="e">
        <f>AND('Ark1'!E377,"AAAAAGvT/8k=")</f>
        <v>#VALUE!</v>
      </c>
      <c r="GU9">
        <f>IF('Ark1'!378:378,"AAAAAGvT/8o=",0)</f>
        <v>0</v>
      </c>
      <c r="GV9" t="e">
        <f>AND('Ark1'!A377,"AAAAAGvT/8s=")</f>
        <v>#VALUE!</v>
      </c>
      <c r="GW9" t="e">
        <f>AND('Ark1'!B377,"AAAAAGvT/8w=")</f>
        <v>#VALUE!</v>
      </c>
      <c r="GX9" t="e">
        <f>AND('Ark1'!C377,"AAAAAGvT/80=")</f>
        <v>#VALUE!</v>
      </c>
      <c r="GY9" t="e">
        <f>AND('Ark1'!D377,"AAAAAGvT/84=")</f>
        <v>#VALUE!</v>
      </c>
      <c r="GZ9" t="e">
        <f>AND('Ark1'!E378,"AAAAAGvT/88=")</f>
        <v>#VALUE!</v>
      </c>
      <c r="HA9">
        <f>IF('Ark1'!379:379,"AAAAAGvT/9A=",0)</f>
        <v>0</v>
      </c>
      <c r="HB9" t="e">
        <f>AND('Ark1'!A378,"AAAAAGvT/9E=")</f>
        <v>#VALUE!</v>
      </c>
      <c r="HC9" t="e">
        <f>AND('Ark1'!B378,"AAAAAGvT/9I=")</f>
        <v>#VALUE!</v>
      </c>
      <c r="HD9" t="e">
        <f>AND('Ark1'!C378,"AAAAAGvT/9M=")</f>
        <v>#VALUE!</v>
      </c>
      <c r="HE9" t="e">
        <f>AND('Ark1'!D378,"AAAAAGvT/9Q=")</f>
        <v>#VALUE!</v>
      </c>
      <c r="HF9" t="e">
        <f>AND('Ark1'!E379,"AAAAAGvT/9U=")</f>
        <v>#VALUE!</v>
      </c>
      <c r="HG9">
        <f>IF('Ark1'!380:380,"AAAAAGvT/9Y=",0)</f>
        <v>0</v>
      </c>
      <c r="HH9" t="e">
        <f>AND('Ark1'!A379,"AAAAAGvT/9c=")</f>
        <v>#VALUE!</v>
      </c>
      <c r="HI9" t="e">
        <f>AND('Ark1'!B379,"AAAAAGvT/9g=")</f>
        <v>#VALUE!</v>
      </c>
      <c r="HJ9" t="e">
        <f>AND('Ark1'!C379,"AAAAAGvT/9k=")</f>
        <v>#VALUE!</v>
      </c>
      <c r="HK9" t="e">
        <f>AND('Ark1'!D379,"AAAAAGvT/9o=")</f>
        <v>#VALUE!</v>
      </c>
      <c r="HL9" t="e">
        <f>AND('Ark1'!E380,"AAAAAGvT/9s=")</f>
        <v>#VALUE!</v>
      </c>
      <c r="HM9">
        <f>IF('Ark1'!381:381,"AAAAAGvT/9w=",0)</f>
        <v>0</v>
      </c>
      <c r="HN9" t="e">
        <f>AND('Ark1'!A380,"AAAAAGvT/90=")</f>
        <v>#VALUE!</v>
      </c>
      <c r="HO9" t="e">
        <f>AND('Ark1'!B380,"AAAAAGvT/94=")</f>
        <v>#VALUE!</v>
      </c>
      <c r="HP9" t="e">
        <f>AND('Ark1'!C380,"AAAAAGvT/98=")</f>
        <v>#VALUE!</v>
      </c>
      <c r="HQ9" t="e">
        <f>AND('Ark1'!D380,"AAAAAGvT/+A=")</f>
        <v>#VALUE!</v>
      </c>
      <c r="HR9" t="e">
        <f>AND('Ark1'!E381,"AAAAAGvT/+E=")</f>
        <v>#VALUE!</v>
      </c>
      <c r="HS9">
        <f>IF('Ark1'!382:382,"AAAAAGvT/+I=",0)</f>
        <v>0</v>
      </c>
      <c r="HT9" t="e">
        <f>AND('Ark1'!A381,"AAAAAGvT/+M=")</f>
        <v>#VALUE!</v>
      </c>
      <c r="HU9" t="e">
        <f>AND('Ark1'!B381,"AAAAAGvT/+Q=")</f>
        <v>#VALUE!</v>
      </c>
      <c r="HV9" t="e">
        <f>AND('Ark1'!C381,"AAAAAGvT/+U=")</f>
        <v>#VALUE!</v>
      </c>
      <c r="HW9" t="e">
        <f>AND('Ark1'!D381,"AAAAAGvT/+Y=")</f>
        <v>#VALUE!</v>
      </c>
      <c r="HX9" t="e">
        <f>AND('Ark1'!E382,"AAAAAGvT/+c=")</f>
        <v>#VALUE!</v>
      </c>
      <c r="HY9">
        <f>IF('Ark1'!383:383,"AAAAAGvT/+g=",0)</f>
        <v>0</v>
      </c>
      <c r="HZ9" t="e">
        <f>AND('Ark1'!A382,"AAAAAGvT/+k=")</f>
        <v>#VALUE!</v>
      </c>
      <c r="IA9" t="e">
        <f>AND('Ark1'!B382,"AAAAAGvT/+o=")</f>
        <v>#VALUE!</v>
      </c>
      <c r="IB9" t="e">
        <f>AND('Ark1'!C382,"AAAAAGvT/+s=")</f>
        <v>#VALUE!</v>
      </c>
      <c r="IC9" t="e">
        <f>AND('Ark1'!D382,"AAAAAGvT/+w=")</f>
        <v>#VALUE!</v>
      </c>
      <c r="ID9" t="e">
        <f>AND('Ark1'!E383,"AAAAAGvT/+0=")</f>
        <v>#VALUE!</v>
      </c>
      <c r="IE9">
        <f>IF('Ark1'!384:384,"AAAAAGvT/+4=",0)</f>
        <v>0</v>
      </c>
      <c r="IF9" t="e">
        <f>AND('Ark1'!A383,"AAAAAGvT/+8=")</f>
        <v>#VALUE!</v>
      </c>
      <c r="IG9" t="e">
        <f>AND('Ark1'!B383,"AAAAAGvT//A=")</f>
        <v>#VALUE!</v>
      </c>
      <c r="IH9" t="e">
        <f>AND('Ark1'!C383,"AAAAAGvT//E=")</f>
        <v>#VALUE!</v>
      </c>
      <c r="II9" t="e">
        <f>AND('Ark1'!D383,"AAAAAGvT//I=")</f>
        <v>#VALUE!</v>
      </c>
      <c r="IJ9" t="e">
        <f>AND('Ark1'!E384,"AAAAAGvT//M=")</f>
        <v>#VALUE!</v>
      </c>
      <c r="IK9">
        <f>IF('Ark1'!385:385,"AAAAAGvT//Q=",0)</f>
        <v>0</v>
      </c>
      <c r="IL9" t="e">
        <f>AND('Ark1'!A384,"AAAAAGvT//U=")</f>
        <v>#VALUE!</v>
      </c>
      <c r="IM9" t="e">
        <f>AND('Ark1'!B384,"AAAAAGvT//Y=")</f>
        <v>#VALUE!</v>
      </c>
      <c r="IN9" t="e">
        <f>AND('Ark1'!C384,"AAAAAGvT//c=")</f>
        <v>#VALUE!</v>
      </c>
      <c r="IO9" t="e">
        <f>AND('Ark1'!D384,"AAAAAGvT//g=")</f>
        <v>#VALUE!</v>
      </c>
      <c r="IP9" t="e">
        <f>AND('Ark1'!E385,"AAAAAGvT//k=")</f>
        <v>#VALUE!</v>
      </c>
      <c r="IQ9">
        <f>IF('Ark1'!386:386,"AAAAAGvT//o=",0)</f>
        <v>0</v>
      </c>
      <c r="IR9" t="e">
        <f>AND('Ark1'!A385,"AAAAAGvT//s=")</f>
        <v>#VALUE!</v>
      </c>
      <c r="IS9" t="e">
        <f>AND('Ark1'!B385,"AAAAAGvT//w=")</f>
        <v>#VALUE!</v>
      </c>
      <c r="IT9" t="e">
        <f>AND('Ark1'!C385,"AAAAAGvT//0=")</f>
        <v>#VALUE!</v>
      </c>
      <c r="IU9" t="e">
        <f>AND('Ark1'!D385,"AAAAAGvT//4=")</f>
        <v>#VALUE!</v>
      </c>
      <c r="IV9" t="e">
        <f>AND('Ark1'!E386,"AAAAAGvT//8=")</f>
        <v>#VALUE!</v>
      </c>
    </row>
    <row r="10" spans="1:256" x14ac:dyDescent="0.25">
      <c r="A10" t="e">
        <f>IF('Ark1'!387:387,"AAAAAHf3bwA=",0)</f>
        <v>#VALUE!</v>
      </c>
      <c r="B10" t="e">
        <f>AND('Ark1'!A386,"AAAAAHf3bwE=")</f>
        <v>#VALUE!</v>
      </c>
      <c r="C10" t="e">
        <f>AND('Ark1'!B386,"AAAAAHf3bwI=")</f>
        <v>#VALUE!</v>
      </c>
      <c r="D10" t="e">
        <f>AND('Ark1'!C386,"AAAAAHf3bwM=")</f>
        <v>#VALUE!</v>
      </c>
      <c r="E10" t="e">
        <f>AND('Ark1'!D386,"AAAAAHf3bwQ=")</f>
        <v>#VALUE!</v>
      </c>
      <c r="F10" t="e">
        <f>AND('Ark1'!E387,"AAAAAHf3bwU=")</f>
        <v>#VALUE!</v>
      </c>
      <c r="G10">
        <f>IF('Ark1'!388:388,"AAAAAHf3bwY=",0)</f>
        <v>0</v>
      </c>
      <c r="H10" t="e">
        <f>AND('Ark1'!A387,"AAAAAHf3bwc=")</f>
        <v>#VALUE!</v>
      </c>
      <c r="I10" t="e">
        <f>AND('Ark1'!B387,"AAAAAHf3bwg=")</f>
        <v>#VALUE!</v>
      </c>
      <c r="J10" t="e">
        <f>AND('Ark1'!C387,"AAAAAHf3bwk=")</f>
        <v>#VALUE!</v>
      </c>
      <c r="K10" t="e">
        <f>AND('Ark1'!D387,"AAAAAHf3bwo=")</f>
        <v>#VALUE!</v>
      </c>
      <c r="L10" t="e">
        <f>AND('Ark1'!E388,"AAAAAHf3bws=")</f>
        <v>#VALUE!</v>
      </c>
      <c r="M10">
        <f>IF('Ark1'!389:389,"AAAAAHf3bww=",0)</f>
        <v>0</v>
      </c>
      <c r="N10" t="e">
        <f>AND('Ark1'!A388,"AAAAAHf3bw0=")</f>
        <v>#VALUE!</v>
      </c>
      <c r="O10" t="e">
        <f>AND('Ark1'!B388,"AAAAAHf3bw4=")</f>
        <v>#VALUE!</v>
      </c>
      <c r="P10" t="e">
        <f>AND('Ark1'!C388,"AAAAAHf3bw8=")</f>
        <v>#VALUE!</v>
      </c>
      <c r="Q10" t="e">
        <f>AND('Ark1'!D388,"AAAAAHf3bxA=")</f>
        <v>#VALUE!</v>
      </c>
      <c r="R10" t="e">
        <f>AND('Ark1'!E389,"AAAAAHf3bxE=")</f>
        <v>#VALUE!</v>
      </c>
      <c r="S10">
        <f>IF('Ark1'!390:390,"AAAAAHf3bxI=",0)</f>
        <v>0</v>
      </c>
      <c r="T10" t="e">
        <f>AND('Ark1'!A389,"AAAAAHf3bxM=")</f>
        <v>#VALUE!</v>
      </c>
      <c r="U10" t="e">
        <f>AND('Ark1'!B389,"AAAAAHf3bxQ=")</f>
        <v>#VALUE!</v>
      </c>
      <c r="V10" t="e">
        <f>AND('Ark1'!C389,"AAAAAHf3bxU=")</f>
        <v>#VALUE!</v>
      </c>
      <c r="W10" t="e">
        <f>AND('Ark1'!D389,"AAAAAHf3bxY=")</f>
        <v>#VALUE!</v>
      </c>
      <c r="X10" t="e">
        <f>AND('Ark1'!E390,"AAAAAHf3bxc=")</f>
        <v>#VALUE!</v>
      </c>
      <c r="Y10">
        <f>IF('Ark1'!391:391,"AAAAAHf3bxg=",0)</f>
        <v>0</v>
      </c>
      <c r="Z10" t="e">
        <f>AND('Ark1'!A390,"AAAAAHf3bxk=")</f>
        <v>#VALUE!</v>
      </c>
      <c r="AA10" t="e">
        <f>AND('Ark1'!B390,"AAAAAHf3bxo=")</f>
        <v>#VALUE!</v>
      </c>
      <c r="AB10" t="e">
        <f>AND('Ark1'!C390,"AAAAAHf3bxs=")</f>
        <v>#VALUE!</v>
      </c>
      <c r="AC10" t="e">
        <f>AND('Ark1'!D390,"AAAAAHf3bxw=")</f>
        <v>#VALUE!</v>
      </c>
      <c r="AD10" t="e">
        <f>AND('Ark1'!E391,"AAAAAHf3bx0=")</f>
        <v>#VALUE!</v>
      </c>
      <c r="AE10">
        <f>IF('Ark1'!392:392,"AAAAAHf3bx4=",0)</f>
        <v>0</v>
      </c>
      <c r="AF10" t="e">
        <f>AND('Ark1'!A391,"AAAAAHf3bx8=")</f>
        <v>#VALUE!</v>
      </c>
      <c r="AG10" t="e">
        <f>AND('Ark1'!B391,"AAAAAHf3byA=")</f>
        <v>#VALUE!</v>
      </c>
      <c r="AH10" t="e">
        <f>AND('Ark1'!C391,"AAAAAHf3byE=")</f>
        <v>#VALUE!</v>
      </c>
      <c r="AI10" t="e">
        <f>AND('Ark1'!D391,"AAAAAHf3byI=")</f>
        <v>#VALUE!</v>
      </c>
      <c r="AJ10" t="e">
        <f>AND('Ark1'!E392,"AAAAAHf3byM=")</f>
        <v>#VALUE!</v>
      </c>
      <c r="AK10">
        <f>IF('Ark1'!393:393,"AAAAAHf3byQ=",0)</f>
        <v>0</v>
      </c>
      <c r="AL10" t="e">
        <f>AND('Ark1'!A392,"AAAAAHf3byU=")</f>
        <v>#VALUE!</v>
      </c>
      <c r="AM10" t="e">
        <f>AND('Ark1'!B392,"AAAAAHf3byY=")</f>
        <v>#VALUE!</v>
      </c>
      <c r="AN10" t="e">
        <f>AND('Ark1'!C392,"AAAAAHf3byc=")</f>
        <v>#VALUE!</v>
      </c>
      <c r="AO10" t="e">
        <f>AND('Ark1'!D392,"AAAAAHf3byg=")</f>
        <v>#VALUE!</v>
      </c>
      <c r="AP10" t="e">
        <f>AND('Ark1'!E393,"AAAAAHf3byk=")</f>
        <v>#VALUE!</v>
      </c>
      <c r="AQ10">
        <f>IF('Ark1'!394:394,"AAAAAHf3byo=",0)</f>
        <v>0</v>
      </c>
      <c r="AR10" t="e">
        <f>AND('Ark1'!A393,"AAAAAHf3bys=")</f>
        <v>#VALUE!</v>
      </c>
      <c r="AS10" t="e">
        <f>AND('Ark1'!B393,"AAAAAHf3byw=")</f>
        <v>#VALUE!</v>
      </c>
      <c r="AT10" t="e">
        <f>AND('Ark1'!C393,"AAAAAHf3by0=")</f>
        <v>#VALUE!</v>
      </c>
      <c r="AU10" t="e">
        <f>AND('Ark1'!D393,"AAAAAHf3by4=")</f>
        <v>#VALUE!</v>
      </c>
      <c r="AV10" t="e">
        <f>AND('Ark1'!E394,"AAAAAHf3by8=")</f>
        <v>#VALUE!</v>
      </c>
      <c r="AW10">
        <f>IF('Ark1'!395:395,"AAAAAHf3bzA=",0)</f>
        <v>0</v>
      </c>
      <c r="AX10" t="e">
        <f>AND('Ark1'!A394,"AAAAAHf3bzE=")</f>
        <v>#VALUE!</v>
      </c>
      <c r="AY10" t="e">
        <f>AND('Ark1'!B394,"AAAAAHf3bzI=")</f>
        <v>#VALUE!</v>
      </c>
      <c r="AZ10" t="e">
        <f>AND('Ark1'!C394,"AAAAAHf3bzM=")</f>
        <v>#VALUE!</v>
      </c>
      <c r="BA10" t="e">
        <f>AND('Ark1'!D394,"AAAAAHf3bzQ=")</f>
        <v>#VALUE!</v>
      </c>
      <c r="BB10" t="e">
        <f>AND('Ark1'!E395,"AAAAAHf3bzU=")</f>
        <v>#VALUE!</v>
      </c>
      <c r="BC10">
        <f>IF('Ark1'!396:396,"AAAAAHf3bzY=",0)</f>
        <v>0</v>
      </c>
      <c r="BD10" t="e">
        <f>AND('Ark1'!A395,"AAAAAHf3bzc=")</f>
        <v>#VALUE!</v>
      </c>
      <c r="BE10" t="e">
        <f>AND('Ark1'!B395,"AAAAAHf3bzg=")</f>
        <v>#VALUE!</v>
      </c>
      <c r="BF10" t="e">
        <f>AND('Ark1'!C395,"AAAAAHf3bzk=")</f>
        <v>#VALUE!</v>
      </c>
      <c r="BG10" t="e">
        <f>AND('Ark1'!D395,"AAAAAHf3bzo=")</f>
        <v>#VALUE!</v>
      </c>
      <c r="BH10" t="e">
        <f>AND('Ark1'!E396,"AAAAAHf3bzs=")</f>
        <v>#VALUE!</v>
      </c>
      <c r="BI10">
        <f>IF('Ark1'!397:397,"AAAAAHf3bzw=",0)</f>
        <v>0</v>
      </c>
      <c r="BJ10" t="e">
        <f>AND('Ark1'!A396,"AAAAAHf3bz0=")</f>
        <v>#VALUE!</v>
      </c>
      <c r="BK10" t="e">
        <f>AND('Ark1'!B396,"AAAAAHf3bz4=")</f>
        <v>#VALUE!</v>
      </c>
      <c r="BL10" t="e">
        <f>AND('Ark1'!C396,"AAAAAHf3bz8=")</f>
        <v>#VALUE!</v>
      </c>
      <c r="BM10" t="e">
        <f>AND('Ark1'!D396,"AAAAAHf3b0A=")</f>
        <v>#VALUE!</v>
      </c>
      <c r="BN10" t="e">
        <f>AND('Ark1'!E397,"AAAAAHf3b0E=")</f>
        <v>#VALUE!</v>
      </c>
      <c r="BO10">
        <f>IF('Ark1'!398:398,"AAAAAHf3b0I=",0)</f>
        <v>0</v>
      </c>
      <c r="BP10" t="e">
        <f>AND('Ark1'!A397,"AAAAAHf3b0M=")</f>
        <v>#VALUE!</v>
      </c>
      <c r="BQ10" t="e">
        <f>AND('Ark1'!B397,"AAAAAHf3b0Q=")</f>
        <v>#VALUE!</v>
      </c>
      <c r="BR10" t="e">
        <f>AND('Ark1'!C397,"AAAAAHf3b0U=")</f>
        <v>#VALUE!</v>
      </c>
      <c r="BS10" t="e">
        <f>AND('Ark1'!D397,"AAAAAHf3b0Y=")</f>
        <v>#VALUE!</v>
      </c>
      <c r="BT10" t="e">
        <f>AND('Ark1'!E398,"AAAAAHf3b0c=")</f>
        <v>#VALUE!</v>
      </c>
      <c r="BU10">
        <f>IF('Ark1'!399:399,"AAAAAHf3b0g=",0)</f>
        <v>0</v>
      </c>
      <c r="BV10" t="e">
        <f>AND('Ark1'!A398,"AAAAAHf3b0k=")</f>
        <v>#VALUE!</v>
      </c>
      <c r="BW10" t="e">
        <f>AND('Ark1'!B398,"AAAAAHf3b0o=")</f>
        <v>#VALUE!</v>
      </c>
      <c r="BX10" t="e">
        <f>AND('Ark1'!C398,"AAAAAHf3b0s=")</f>
        <v>#VALUE!</v>
      </c>
      <c r="BY10" t="e">
        <f>AND('Ark1'!D398,"AAAAAHf3b0w=")</f>
        <v>#VALUE!</v>
      </c>
      <c r="BZ10" t="e">
        <f>AND('Ark1'!E399,"AAAAAHf3b00=")</f>
        <v>#VALUE!</v>
      </c>
      <c r="CA10">
        <f>IF('Ark1'!400:400,"AAAAAHf3b04=",0)</f>
        <v>0</v>
      </c>
      <c r="CB10" t="e">
        <f>AND('Ark1'!A399,"AAAAAHf3b08=")</f>
        <v>#VALUE!</v>
      </c>
      <c r="CC10" t="e">
        <f>AND('Ark1'!B399,"AAAAAHf3b1A=")</f>
        <v>#VALUE!</v>
      </c>
      <c r="CD10" t="e">
        <f>AND('Ark1'!C399,"AAAAAHf3b1E=")</f>
        <v>#VALUE!</v>
      </c>
      <c r="CE10" t="e">
        <f>AND('Ark1'!D399,"AAAAAHf3b1I=")</f>
        <v>#VALUE!</v>
      </c>
      <c r="CF10" t="e">
        <f>AND('Ark1'!E400,"AAAAAHf3b1M=")</f>
        <v>#VALUE!</v>
      </c>
      <c r="CG10">
        <f>IF('Ark1'!401:401,"AAAAAHf3b1Q=",0)</f>
        <v>0</v>
      </c>
      <c r="CH10" t="e">
        <f>AND('Ark1'!A400,"AAAAAHf3b1U=")</f>
        <v>#VALUE!</v>
      </c>
      <c r="CI10" t="e">
        <f>AND('Ark1'!B400,"AAAAAHf3b1Y=")</f>
        <v>#VALUE!</v>
      </c>
      <c r="CJ10" t="e">
        <f>AND('Ark1'!C400,"AAAAAHf3b1c=")</f>
        <v>#VALUE!</v>
      </c>
      <c r="CK10" t="e">
        <f>AND('Ark1'!D400,"AAAAAHf3b1g=")</f>
        <v>#VALUE!</v>
      </c>
      <c r="CL10" t="e">
        <f>AND('Ark1'!E401,"AAAAAHf3b1k=")</f>
        <v>#VALUE!</v>
      </c>
      <c r="CM10">
        <f>IF('Ark1'!402:402,"AAAAAHf3b1o=",0)</f>
        <v>0</v>
      </c>
      <c r="CN10" t="e">
        <f>AND('Ark1'!A401,"AAAAAHf3b1s=")</f>
        <v>#VALUE!</v>
      </c>
      <c r="CO10" t="e">
        <f>AND('Ark1'!B401,"AAAAAHf3b1w=")</f>
        <v>#VALUE!</v>
      </c>
      <c r="CP10" t="e">
        <f>AND('Ark1'!C401,"AAAAAHf3b10=")</f>
        <v>#VALUE!</v>
      </c>
      <c r="CQ10" t="e">
        <f>AND('Ark1'!D401,"AAAAAHf3b14=")</f>
        <v>#VALUE!</v>
      </c>
      <c r="CR10" t="e">
        <f>AND('Ark1'!E402,"AAAAAHf3b18=")</f>
        <v>#VALUE!</v>
      </c>
      <c r="CS10">
        <f>IF('Ark1'!403:403,"AAAAAHf3b2A=",0)</f>
        <v>0</v>
      </c>
      <c r="CT10" t="e">
        <f>AND('Ark1'!A402,"AAAAAHf3b2E=")</f>
        <v>#VALUE!</v>
      </c>
      <c r="CU10" t="e">
        <f>AND('Ark1'!B402,"AAAAAHf3b2I=")</f>
        <v>#VALUE!</v>
      </c>
      <c r="CV10" t="e">
        <f>AND('Ark1'!C402,"AAAAAHf3b2M=")</f>
        <v>#VALUE!</v>
      </c>
      <c r="CW10" t="e">
        <f>AND('Ark1'!D402,"AAAAAHf3b2Q=")</f>
        <v>#VALUE!</v>
      </c>
      <c r="CX10" t="e">
        <f>AND('Ark1'!E403,"AAAAAHf3b2U=")</f>
        <v>#VALUE!</v>
      </c>
      <c r="CY10">
        <f>IF('Ark1'!404:404,"AAAAAHf3b2Y=",0)</f>
        <v>0</v>
      </c>
      <c r="CZ10" t="e">
        <f>AND('Ark1'!A403,"AAAAAHf3b2c=")</f>
        <v>#VALUE!</v>
      </c>
      <c r="DA10" t="e">
        <f>AND('Ark1'!B403,"AAAAAHf3b2g=")</f>
        <v>#VALUE!</v>
      </c>
      <c r="DB10" t="e">
        <f>AND('Ark1'!C403,"AAAAAHf3b2k=")</f>
        <v>#VALUE!</v>
      </c>
      <c r="DC10" t="e">
        <f>AND('Ark1'!D403,"AAAAAHf3b2o=")</f>
        <v>#VALUE!</v>
      </c>
      <c r="DD10" t="e">
        <f>AND('Ark1'!E404,"AAAAAHf3b2s=")</f>
        <v>#VALUE!</v>
      </c>
      <c r="DE10">
        <f>IF('Ark1'!405:405,"AAAAAHf3b2w=",0)</f>
        <v>0</v>
      </c>
      <c r="DF10" t="e">
        <f>AND('Ark1'!A404,"AAAAAHf3b20=")</f>
        <v>#VALUE!</v>
      </c>
      <c r="DG10" t="e">
        <f>AND('Ark1'!B404,"AAAAAHf3b24=")</f>
        <v>#VALUE!</v>
      </c>
      <c r="DH10" t="e">
        <f>AND('Ark1'!C404,"AAAAAHf3b28=")</f>
        <v>#VALUE!</v>
      </c>
      <c r="DI10" t="e">
        <f>AND('Ark1'!D404,"AAAAAHf3b3A=")</f>
        <v>#VALUE!</v>
      </c>
      <c r="DJ10" t="e">
        <f>AND('Ark1'!E405,"AAAAAHf3b3E=")</f>
        <v>#VALUE!</v>
      </c>
      <c r="DK10">
        <f>IF('Ark1'!406:406,"AAAAAHf3b3I=",0)</f>
        <v>0</v>
      </c>
      <c r="DL10" t="e">
        <f>AND('Ark1'!A405,"AAAAAHf3b3M=")</f>
        <v>#VALUE!</v>
      </c>
      <c r="DM10" t="e">
        <f>AND('Ark1'!B405,"AAAAAHf3b3Q=")</f>
        <v>#VALUE!</v>
      </c>
      <c r="DN10" t="e">
        <f>AND('Ark1'!C405,"AAAAAHf3b3U=")</f>
        <v>#VALUE!</v>
      </c>
      <c r="DO10" t="e">
        <f>AND('Ark1'!D405,"AAAAAHf3b3Y=")</f>
        <v>#VALUE!</v>
      </c>
      <c r="DP10" t="e">
        <f>AND('Ark1'!E406,"AAAAAHf3b3c=")</f>
        <v>#VALUE!</v>
      </c>
      <c r="DQ10">
        <f>IF('Ark1'!407:407,"AAAAAHf3b3g=",0)</f>
        <v>0</v>
      </c>
      <c r="DR10" t="e">
        <f>AND('Ark1'!A406,"AAAAAHf3b3k=")</f>
        <v>#VALUE!</v>
      </c>
      <c r="DS10" t="e">
        <f>AND('Ark1'!B406,"AAAAAHf3b3o=")</f>
        <v>#VALUE!</v>
      </c>
      <c r="DT10" t="e">
        <f>AND('Ark1'!C406,"AAAAAHf3b3s=")</f>
        <v>#VALUE!</v>
      </c>
      <c r="DU10" t="e">
        <f>AND('Ark1'!D406,"AAAAAHf3b3w=")</f>
        <v>#VALUE!</v>
      </c>
      <c r="DV10" t="e">
        <f>AND('Ark1'!E407,"AAAAAHf3b30=")</f>
        <v>#VALUE!</v>
      </c>
      <c r="DW10">
        <f>IF('Ark1'!408:408,"AAAAAHf3b34=",0)</f>
        <v>0</v>
      </c>
      <c r="DX10" t="e">
        <f>AND('Ark1'!A407,"AAAAAHf3b38=")</f>
        <v>#VALUE!</v>
      </c>
      <c r="DY10" t="e">
        <f>AND('Ark1'!B407,"AAAAAHf3b4A=")</f>
        <v>#VALUE!</v>
      </c>
      <c r="DZ10" t="e">
        <f>AND('Ark1'!C407,"AAAAAHf3b4E=")</f>
        <v>#VALUE!</v>
      </c>
      <c r="EA10" t="e">
        <f>AND('Ark1'!D407,"AAAAAHf3b4I=")</f>
        <v>#VALUE!</v>
      </c>
      <c r="EB10" t="e">
        <f>AND('Ark1'!E408,"AAAAAHf3b4M=")</f>
        <v>#VALUE!</v>
      </c>
      <c r="EC10">
        <f>IF('Ark1'!409:409,"AAAAAHf3b4Q=",0)</f>
        <v>0</v>
      </c>
      <c r="ED10" t="e">
        <f>AND('Ark1'!A408,"AAAAAHf3b4U=")</f>
        <v>#VALUE!</v>
      </c>
      <c r="EE10" t="e">
        <f>AND('Ark1'!B408,"AAAAAHf3b4Y=")</f>
        <v>#VALUE!</v>
      </c>
      <c r="EF10" t="e">
        <f>AND('Ark1'!C408,"AAAAAHf3b4c=")</f>
        <v>#VALUE!</v>
      </c>
      <c r="EG10" t="e">
        <f>AND('Ark1'!D408,"AAAAAHf3b4g=")</f>
        <v>#VALUE!</v>
      </c>
      <c r="EH10" t="e">
        <f>AND('Ark1'!E409,"AAAAAHf3b4k=")</f>
        <v>#VALUE!</v>
      </c>
      <c r="EI10">
        <f>IF('Ark1'!410:410,"AAAAAHf3b4o=",0)</f>
        <v>0</v>
      </c>
      <c r="EJ10" t="e">
        <f>AND('Ark1'!A409,"AAAAAHf3b4s=")</f>
        <v>#VALUE!</v>
      </c>
      <c r="EK10" t="e">
        <f>AND('Ark1'!B409,"AAAAAHf3b4w=")</f>
        <v>#VALUE!</v>
      </c>
      <c r="EL10" t="e">
        <f>AND('Ark1'!C409,"AAAAAHf3b40=")</f>
        <v>#VALUE!</v>
      </c>
      <c r="EM10" t="e">
        <f>AND('Ark1'!D409,"AAAAAHf3b44=")</f>
        <v>#VALUE!</v>
      </c>
      <c r="EN10" t="e">
        <f>AND('Ark1'!E410,"AAAAAHf3b48=")</f>
        <v>#VALUE!</v>
      </c>
      <c r="EO10">
        <f>IF('Ark1'!411:411,"AAAAAHf3b5A=",0)</f>
        <v>0</v>
      </c>
      <c r="EP10" t="e">
        <f>AND('Ark1'!A410,"AAAAAHf3b5E=")</f>
        <v>#VALUE!</v>
      </c>
      <c r="EQ10" t="e">
        <f>AND('Ark1'!B410,"AAAAAHf3b5I=")</f>
        <v>#VALUE!</v>
      </c>
      <c r="ER10" t="e">
        <f>AND('Ark1'!C410,"AAAAAHf3b5M=")</f>
        <v>#VALUE!</v>
      </c>
      <c r="ES10" t="e">
        <f>AND('Ark1'!D410,"AAAAAHf3b5Q=")</f>
        <v>#VALUE!</v>
      </c>
      <c r="ET10" t="e">
        <f>AND('Ark1'!E411,"AAAAAHf3b5U=")</f>
        <v>#VALUE!</v>
      </c>
      <c r="EU10">
        <f>IF('Ark1'!412:412,"AAAAAHf3b5Y=",0)</f>
        <v>0</v>
      </c>
      <c r="EV10" t="e">
        <f>AND('Ark1'!A411,"AAAAAHf3b5c=")</f>
        <v>#VALUE!</v>
      </c>
      <c r="EW10" t="e">
        <f>AND('Ark1'!B411,"AAAAAHf3b5g=")</f>
        <v>#VALUE!</v>
      </c>
      <c r="EX10" t="e">
        <f>AND('Ark1'!C411,"AAAAAHf3b5k=")</f>
        <v>#VALUE!</v>
      </c>
      <c r="EY10" t="e">
        <f>AND('Ark1'!D411,"AAAAAHf3b5o=")</f>
        <v>#VALUE!</v>
      </c>
      <c r="EZ10" t="e">
        <f>AND('Ark1'!E412,"AAAAAHf3b5s=")</f>
        <v>#VALUE!</v>
      </c>
      <c r="FA10">
        <f>IF('Ark1'!413:413,"AAAAAHf3b5w=",0)</f>
        <v>0</v>
      </c>
      <c r="FB10" t="e">
        <f>AND('Ark1'!A412,"AAAAAHf3b50=")</f>
        <v>#VALUE!</v>
      </c>
      <c r="FC10" t="e">
        <f>AND('Ark1'!B412,"AAAAAHf3b54=")</f>
        <v>#VALUE!</v>
      </c>
      <c r="FD10" t="e">
        <f>AND('Ark1'!C412,"AAAAAHf3b58=")</f>
        <v>#VALUE!</v>
      </c>
      <c r="FE10" t="e">
        <f>AND('Ark1'!D412,"AAAAAHf3b6A=")</f>
        <v>#VALUE!</v>
      </c>
      <c r="FF10" t="e">
        <f>AND('Ark1'!E413,"AAAAAHf3b6E=")</f>
        <v>#VALUE!</v>
      </c>
      <c r="FG10">
        <f>IF('Ark1'!414:414,"AAAAAHf3b6I=",0)</f>
        <v>0</v>
      </c>
      <c r="FH10" t="e">
        <f>AND('Ark1'!A413,"AAAAAHf3b6M=")</f>
        <v>#VALUE!</v>
      </c>
      <c r="FI10" t="e">
        <f>AND('Ark1'!B413,"AAAAAHf3b6Q=")</f>
        <v>#VALUE!</v>
      </c>
      <c r="FJ10" t="e">
        <f>AND('Ark1'!C413,"AAAAAHf3b6U=")</f>
        <v>#VALUE!</v>
      </c>
      <c r="FK10" t="e">
        <f>AND('Ark1'!D413,"AAAAAHf3b6Y=")</f>
        <v>#VALUE!</v>
      </c>
      <c r="FL10" t="e">
        <f>AND('Ark1'!E414,"AAAAAHf3b6c=")</f>
        <v>#VALUE!</v>
      </c>
      <c r="FM10">
        <f>IF('Ark1'!415:415,"AAAAAHf3b6g=",0)</f>
        <v>0</v>
      </c>
      <c r="FN10" t="e">
        <f>AND('Ark1'!A414,"AAAAAHf3b6k=")</f>
        <v>#VALUE!</v>
      </c>
      <c r="FO10" t="e">
        <f>AND('Ark1'!B414,"AAAAAHf3b6o=")</f>
        <v>#VALUE!</v>
      </c>
      <c r="FP10" t="e">
        <f>AND('Ark1'!C414,"AAAAAHf3b6s=")</f>
        <v>#VALUE!</v>
      </c>
      <c r="FQ10" t="e">
        <f>AND('Ark1'!D414,"AAAAAHf3b6w=")</f>
        <v>#VALUE!</v>
      </c>
      <c r="FR10" t="e">
        <f>AND('Ark1'!E415,"AAAAAHf3b60=")</f>
        <v>#VALUE!</v>
      </c>
      <c r="FS10">
        <f>IF('Ark1'!416:416,"AAAAAHf3b64=",0)</f>
        <v>0</v>
      </c>
      <c r="FT10" t="e">
        <f>AND('Ark1'!A415,"AAAAAHf3b68=")</f>
        <v>#VALUE!</v>
      </c>
      <c r="FU10" t="e">
        <f>AND('Ark1'!B415,"AAAAAHf3b7A=")</f>
        <v>#VALUE!</v>
      </c>
      <c r="FV10" t="e">
        <f>AND('Ark1'!C415,"AAAAAHf3b7E=")</f>
        <v>#VALUE!</v>
      </c>
      <c r="FW10" t="e">
        <f>AND('Ark1'!D415,"AAAAAHf3b7I=")</f>
        <v>#VALUE!</v>
      </c>
      <c r="FX10" t="e">
        <f>AND('Ark1'!E416,"AAAAAHf3b7M=")</f>
        <v>#VALUE!</v>
      </c>
      <c r="FY10">
        <f>IF('Ark1'!417:417,"AAAAAHf3b7Q=",0)</f>
        <v>0</v>
      </c>
      <c r="FZ10" t="e">
        <f>AND('Ark1'!A416,"AAAAAHf3b7U=")</f>
        <v>#VALUE!</v>
      </c>
      <c r="GA10" t="e">
        <f>AND('Ark1'!B416,"AAAAAHf3b7Y=")</f>
        <v>#VALUE!</v>
      </c>
      <c r="GB10" t="e">
        <f>AND('Ark1'!C416,"AAAAAHf3b7c=")</f>
        <v>#VALUE!</v>
      </c>
      <c r="GC10" t="e">
        <f>AND('Ark1'!D416,"AAAAAHf3b7g=")</f>
        <v>#VALUE!</v>
      </c>
      <c r="GD10" t="e">
        <f>AND('Ark1'!E417,"AAAAAHf3b7k=")</f>
        <v>#VALUE!</v>
      </c>
      <c r="GE10">
        <f>IF('Ark1'!418:418,"AAAAAHf3b7o=",0)</f>
        <v>0</v>
      </c>
      <c r="GF10" t="e">
        <f>AND('Ark1'!A417,"AAAAAHf3b7s=")</f>
        <v>#VALUE!</v>
      </c>
      <c r="GG10" t="e">
        <f>AND('Ark1'!B417,"AAAAAHf3b7w=")</f>
        <v>#VALUE!</v>
      </c>
      <c r="GH10" t="e">
        <f>AND('Ark1'!C417,"AAAAAHf3b70=")</f>
        <v>#VALUE!</v>
      </c>
      <c r="GI10" t="e">
        <f>AND('Ark1'!D417,"AAAAAHf3b74=")</f>
        <v>#VALUE!</v>
      </c>
      <c r="GJ10" t="e">
        <f>AND('Ark1'!E418,"AAAAAHf3b78=")</f>
        <v>#VALUE!</v>
      </c>
      <c r="GK10">
        <f>IF('Ark1'!419:419,"AAAAAHf3b8A=",0)</f>
        <v>0</v>
      </c>
      <c r="GL10" t="e">
        <f>AND('Ark1'!A418,"AAAAAHf3b8E=")</f>
        <v>#VALUE!</v>
      </c>
      <c r="GM10" t="e">
        <f>AND('Ark1'!B418,"AAAAAHf3b8I=")</f>
        <v>#VALUE!</v>
      </c>
      <c r="GN10" t="e">
        <f>AND('Ark1'!C418,"AAAAAHf3b8M=")</f>
        <v>#VALUE!</v>
      </c>
      <c r="GO10" t="e">
        <f>AND('Ark1'!D418,"AAAAAHf3b8Q=")</f>
        <v>#VALUE!</v>
      </c>
      <c r="GP10" t="e">
        <f>AND('Ark1'!E419,"AAAAAHf3b8U=")</f>
        <v>#VALUE!</v>
      </c>
      <c r="GQ10">
        <f>IF('Ark1'!420:420,"AAAAAHf3b8Y=",0)</f>
        <v>0</v>
      </c>
      <c r="GR10" t="e">
        <f>AND('Ark1'!A419,"AAAAAHf3b8c=")</f>
        <v>#VALUE!</v>
      </c>
      <c r="GS10" t="e">
        <f>AND('Ark1'!B419,"AAAAAHf3b8g=")</f>
        <v>#VALUE!</v>
      </c>
      <c r="GT10" t="e">
        <f>AND('Ark1'!C419,"AAAAAHf3b8k=")</f>
        <v>#VALUE!</v>
      </c>
      <c r="GU10" t="e">
        <f>AND('Ark1'!D419,"AAAAAHf3b8o=")</f>
        <v>#VALUE!</v>
      </c>
      <c r="GV10" t="e">
        <f>AND('Ark1'!E420,"AAAAAHf3b8s=")</f>
        <v>#VALUE!</v>
      </c>
      <c r="GW10">
        <f>IF('Ark1'!421:421,"AAAAAHf3b8w=",0)</f>
        <v>0</v>
      </c>
      <c r="GX10" t="e">
        <f>AND('Ark1'!A420,"AAAAAHf3b80=")</f>
        <v>#VALUE!</v>
      </c>
      <c r="GY10" t="e">
        <f>AND('Ark1'!B420,"AAAAAHf3b84=")</f>
        <v>#VALUE!</v>
      </c>
      <c r="GZ10" t="e">
        <f>AND('Ark1'!C420,"AAAAAHf3b88=")</f>
        <v>#VALUE!</v>
      </c>
      <c r="HA10" t="e">
        <f>AND('Ark1'!D420,"AAAAAHf3b9A=")</f>
        <v>#VALUE!</v>
      </c>
      <c r="HB10" t="e">
        <f>AND('Ark1'!E421,"AAAAAHf3b9E=")</f>
        <v>#VALUE!</v>
      </c>
      <c r="HC10">
        <f>IF('Ark1'!422:422,"AAAAAHf3b9I=",0)</f>
        <v>0</v>
      </c>
      <c r="HD10" t="e">
        <f>AND('Ark1'!A421,"AAAAAHf3b9M=")</f>
        <v>#VALUE!</v>
      </c>
      <c r="HE10" t="e">
        <f>AND('Ark1'!B421,"AAAAAHf3b9Q=")</f>
        <v>#VALUE!</v>
      </c>
      <c r="HF10" t="e">
        <f>AND('Ark1'!C421,"AAAAAHf3b9U=")</f>
        <v>#VALUE!</v>
      </c>
      <c r="HG10" t="e">
        <f>AND('Ark1'!D421,"AAAAAHf3b9Y=")</f>
        <v>#VALUE!</v>
      </c>
      <c r="HH10" t="e">
        <f>AND('Ark1'!E422,"AAAAAHf3b9c=")</f>
        <v>#VALUE!</v>
      </c>
      <c r="HI10">
        <f>IF('Ark1'!423:423,"AAAAAHf3b9g=",0)</f>
        <v>0</v>
      </c>
      <c r="HJ10" t="e">
        <f>AND('Ark1'!A422,"AAAAAHf3b9k=")</f>
        <v>#VALUE!</v>
      </c>
      <c r="HK10" t="e">
        <f>AND('Ark1'!B422,"AAAAAHf3b9o=")</f>
        <v>#VALUE!</v>
      </c>
      <c r="HL10" t="e">
        <f>AND('Ark1'!C422,"AAAAAHf3b9s=")</f>
        <v>#VALUE!</v>
      </c>
      <c r="HM10" t="e">
        <f>AND('Ark1'!D422,"AAAAAHf3b9w=")</f>
        <v>#VALUE!</v>
      </c>
      <c r="HN10" t="e">
        <f>AND('Ark1'!E423,"AAAAAHf3b90=")</f>
        <v>#VALUE!</v>
      </c>
      <c r="HO10">
        <f>IF('Ark1'!424:424,"AAAAAHf3b94=",0)</f>
        <v>0</v>
      </c>
      <c r="HP10" t="e">
        <f>AND('Ark1'!A423,"AAAAAHf3b98=")</f>
        <v>#VALUE!</v>
      </c>
      <c r="HQ10" t="e">
        <f>AND('Ark1'!B423,"AAAAAHf3b+A=")</f>
        <v>#VALUE!</v>
      </c>
      <c r="HR10" t="e">
        <f>AND('Ark1'!C423,"AAAAAHf3b+E=")</f>
        <v>#VALUE!</v>
      </c>
      <c r="HS10" t="e">
        <f>AND('Ark1'!D423,"AAAAAHf3b+I=")</f>
        <v>#VALUE!</v>
      </c>
      <c r="HT10" t="e">
        <f>AND('Ark1'!E424,"AAAAAHf3b+M=")</f>
        <v>#VALUE!</v>
      </c>
      <c r="HU10">
        <f>IF('Ark1'!425:425,"AAAAAHf3b+Q=",0)</f>
        <v>0</v>
      </c>
      <c r="HV10" t="e">
        <f>AND('Ark1'!A424,"AAAAAHf3b+U=")</f>
        <v>#VALUE!</v>
      </c>
      <c r="HW10" t="e">
        <f>AND('Ark1'!B424,"AAAAAHf3b+Y=")</f>
        <v>#VALUE!</v>
      </c>
      <c r="HX10" t="e">
        <f>AND('Ark1'!C424,"AAAAAHf3b+c=")</f>
        <v>#VALUE!</v>
      </c>
      <c r="HY10" t="e">
        <f>AND('Ark1'!D424,"AAAAAHf3b+g=")</f>
        <v>#VALUE!</v>
      </c>
      <c r="HZ10" t="e">
        <f>AND('Ark1'!E425,"AAAAAHf3b+k=")</f>
        <v>#VALUE!</v>
      </c>
      <c r="IA10">
        <f>IF('Ark1'!426:426,"AAAAAHf3b+o=",0)</f>
        <v>0</v>
      </c>
      <c r="IB10" t="e">
        <f>AND('Ark1'!A425,"AAAAAHf3b+s=")</f>
        <v>#VALUE!</v>
      </c>
      <c r="IC10" t="e">
        <f>AND('Ark1'!B425,"AAAAAHf3b+w=")</f>
        <v>#VALUE!</v>
      </c>
      <c r="ID10" t="e">
        <f>AND('Ark1'!C425,"AAAAAHf3b+0=")</f>
        <v>#VALUE!</v>
      </c>
      <c r="IE10" t="e">
        <f>AND('Ark1'!D425,"AAAAAHf3b+4=")</f>
        <v>#VALUE!</v>
      </c>
      <c r="IF10" t="e">
        <f>AND('Ark1'!E426,"AAAAAHf3b+8=")</f>
        <v>#VALUE!</v>
      </c>
      <c r="IG10">
        <f>IF('Ark1'!427:427,"AAAAAHf3b/A=",0)</f>
        <v>0</v>
      </c>
      <c r="IH10" t="e">
        <f>AND('Ark1'!A426,"AAAAAHf3b/E=")</f>
        <v>#VALUE!</v>
      </c>
      <c r="II10" t="e">
        <f>AND('Ark1'!B426,"AAAAAHf3b/I=")</f>
        <v>#VALUE!</v>
      </c>
      <c r="IJ10" t="e">
        <f>AND('Ark1'!C426,"AAAAAHf3b/M=")</f>
        <v>#VALUE!</v>
      </c>
      <c r="IK10" t="e">
        <f>AND('Ark1'!D426,"AAAAAHf3b/Q=")</f>
        <v>#VALUE!</v>
      </c>
      <c r="IL10" t="e">
        <f>AND('Ark1'!E427,"AAAAAHf3b/U=")</f>
        <v>#VALUE!</v>
      </c>
      <c r="IM10">
        <f>IF('Ark1'!428:428,"AAAAAHf3b/Y=",0)</f>
        <v>0</v>
      </c>
      <c r="IN10" t="e">
        <f>AND('Ark1'!A427,"AAAAAHf3b/c=")</f>
        <v>#VALUE!</v>
      </c>
      <c r="IO10" t="e">
        <f>AND('Ark1'!B427,"AAAAAHf3b/g=")</f>
        <v>#VALUE!</v>
      </c>
      <c r="IP10" t="e">
        <f>AND('Ark1'!C427,"AAAAAHf3b/k=")</f>
        <v>#VALUE!</v>
      </c>
      <c r="IQ10" t="e">
        <f>AND('Ark1'!D427,"AAAAAHf3b/o=")</f>
        <v>#VALUE!</v>
      </c>
      <c r="IR10" t="e">
        <f>AND('Ark1'!E428,"AAAAAHf3b/s=")</f>
        <v>#VALUE!</v>
      </c>
      <c r="IS10">
        <f>IF('Ark1'!429:429,"AAAAAHf3b/w=",0)</f>
        <v>0</v>
      </c>
      <c r="IT10" t="e">
        <f>AND('Ark1'!A428,"AAAAAHf3b/0=")</f>
        <v>#VALUE!</v>
      </c>
      <c r="IU10" t="e">
        <f>AND('Ark1'!B428,"AAAAAHf3b/4=")</f>
        <v>#VALUE!</v>
      </c>
      <c r="IV10" t="e">
        <f>AND('Ark1'!C428,"AAAAAHf3b/8=")</f>
        <v>#VALUE!</v>
      </c>
    </row>
    <row r="11" spans="1:256" x14ac:dyDescent="0.25">
      <c r="A11" t="e">
        <f>AND('Ark1'!D428,"AAAAAH9+7wA=")</f>
        <v>#VALUE!</v>
      </c>
      <c r="B11" t="e">
        <f>AND('Ark1'!E429,"AAAAAH9+7wE=")</f>
        <v>#VALUE!</v>
      </c>
      <c r="C11">
        <f>IF('Ark1'!430:430,"AAAAAH9+7wI=",0)</f>
        <v>0</v>
      </c>
      <c r="D11" t="e">
        <f>AND('Ark1'!A429,"AAAAAH9+7wM=")</f>
        <v>#VALUE!</v>
      </c>
      <c r="E11" t="e">
        <f>AND('Ark1'!B429,"AAAAAH9+7wQ=")</f>
        <v>#VALUE!</v>
      </c>
      <c r="F11" t="e">
        <f>AND('Ark1'!C429,"AAAAAH9+7wU=")</f>
        <v>#VALUE!</v>
      </c>
      <c r="G11" t="e">
        <f>AND('Ark1'!D429,"AAAAAH9+7wY=")</f>
        <v>#VALUE!</v>
      </c>
      <c r="H11" t="e">
        <f>AND('Ark1'!E430,"AAAAAH9+7wc=")</f>
        <v>#VALUE!</v>
      </c>
      <c r="I11">
        <f>IF('Ark1'!431:431,"AAAAAH9+7wg=",0)</f>
        <v>0</v>
      </c>
      <c r="J11" t="e">
        <f>AND('Ark1'!A430,"AAAAAH9+7wk=")</f>
        <v>#VALUE!</v>
      </c>
      <c r="K11" t="e">
        <f>AND('Ark1'!B430,"AAAAAH9+7wo=")</f>
        <v>#VALUE!</v>
      </c>
      <c r="L11" t="e">
        <f>AND('Ark1'!C430,"AAAAAH9+7ws=")</f>
        <v>#VALUE!</v>
      </c>
      <c r="M11" t="e">
        <f>AND('Ark1'!D430,"AAAAAH9+7ww=")</f>
        <v>#VALUE!</v>
      </c>
      <c r="N11" t="e">
        <f>AND('Ark1'!E431,"AAAAAH9+7w0=")</f>
        <v>#VALUE!</v>
      </c>
      <c r="O11">
        <f>IF('Ark1'!432:432,"AAAAAH9+7w4=",0)</f>
        <v>0</v>
      </c>
      <c r="P11" t="e">
        <f>AND('Ark1'!A431,"AAAAAH9+7w8=")</f>
        <v>#VALUE!</v>
      </c>
      <c r="Q11" t="e">
        <f>AND('Ark1'!B431,"AAAAAH9+7xA=")</f>
        <v>#VALUE!</v>
      </c>
      <c r="R11" t="e">
        <f>AND('Ark1'!C431,"AAAAAH9+7xE=")</f>
        <v>#VALUE!</v>
      </c>
      <c r="S11" t="e">
        <f>AND('Ark1'!D431,"AAAAAH9+7xI=")</f>
        <v>#VALUE!</v>
      </c>
      <c r="T11" t="e">
        <f>AND('Ark1'!E432,"AAAAAH9+7xM=")</f>
        <v>#VALUE!</v>
      </c>
      <c r="U11">
        <f>IF('Ark1'!433:433,"AAAAAH9+7xQ=",0)</f>
        <v>0</v>
      </c>
      <c r="V11" t="e">
        <f>AND('Ark1'!A432,"AAAAAH9+7xU=")</f>
        <v>#VALUE!</v>
      </c>
      <c r="W11" t="e">
        <f>AND('Ark1'!B432,"AAAAAH9+7xY=")</f>
        <v>#VALUE!</v>
      </c>
      <c r="X11" t="e">
        <f>AND('Ark1'!C432,"AAAAAH9+7xc=")</f>
        <v>#VALUE!</v>
      </c>
      <c r="Y11" t="e">
        <f>AND('Ark1'!D432,"AAAAAH9+7xg=")</f>
        <v>#VALUE!</v>
      </c>
      <c r="Z11" t="e">
        <f>AND('Ark1'!E433,"AAAAAH9+7xk=")</f>
        <v>#VALUE!</v>
      </c>
      <c r="AA11">
        <f>IF('Ark1'!434:434,"AAAAAH9+7xo=",0)</f>
        <v>0</v>
      </c>
      <c r="AB11" t="e">
        <f>AND('Ark1'!A433,"AAAAAH9+7xs=")</f>
        <v>#VALUE!</v>
      </c>
      <c r="AC11" t="e">
        <f>AND('Ark1'!B433,"AAAAAH9+7xw=")</f>
        <v>#VALUE!</v>
      </c>
      <c r="AD11" t="e">
        <f>AND('Ark1'!C433,"AAAAAH9+7x0=")</f>
        <v>#VALUE!</v>
      </c>
      <c r="AE11" t="e">
        <f>AND('Ark1'!D433,"AAAAAH9+7x4=")</f>
        <v>#VALUE!</v>
      </c>
      <c r="AF11" t="e">
        <f>AND('Ark1'!E434,"AAAAAH9+7x8=")</f>
        <v>#VALUE!</v>
      </c>
      <c r="AG11">
        <f>IF('Ark1'!435:435,"AAAAAH9+7yA=",0)</f>
        <v>0</v>
      </c>
      <c r="AH11" t="e">
        <f>AND('Ark1'!A434,"AAAAAH9+7yE=")</f>
        <v>#VALUE!</v>
      </c>
      <c r="AI11" t="e">
        <f>AND('Ark1'!B434,"AAAAAH9+7yI=")</f>
        <v>#VALUE!</v>
      </c>
      <c r="AJ11" t="e">
        <f>AND('Ark1'!C434,"AAAAAH9+7yM=")</f>
        <v>#VALUE!</v>
      </c>
      <c r="AK11" t="e">
        <f>AND('Ark1'!D434,"AAAAAH9+7yQ=")</f>
        <v>#VALUE!</v>
      </c>
      <c r="AL11" t="e">
        <f>AND('Ark1'!E435,"AAAAAH9+7yU=")</f>
        <v>#VALUE!</v>
      </c>
      <c r="AM11">
        <f>IF('Ark1'!436:436,"AAAAAH9+7yY=",0)</f>
        <v>0</v>
      </c>
      <c r="AN11" t="e">
        <f>AND('Ark1'!A435,"AAAAAH9+7yc=")</f>
        <v>#VALUE!</v>
      </c>
      <c r="AO11" t="e">
        <f>AND('Ark1'!B435,"AAAAAH9+7yg=")</f>
        <v>#VALUE!</v>
      </c>
      <c r="AP11" t="e">
        <f>AND('Ark1'!C435,"AAAAAH9+7yk=")</f>
        <v>#VALUE!</v>
      </c>
      <c r="AQ11" t="e">
        <f>AND('Ark1'!D435,"AAAAAH9+7yo=")</f>
        <v>#VALUE!</v>
      </c>
      <c r="AR11" t="e">
        <f>AND('Ark1'!E436,"AAAAAH9+7ys=")</f>
        <v>#VALUE!</v>
      </c>
      <c r="AS11">
        <f>IF('Ark1'!437:437,"AAAAAH9+7yw=",0)</f>
        <v>0</v>
      </c>
      <c r="AT11" t="e">
        <f>AND('Ark1'!A436,"AAAAAH9+7y0=")</f>
        <v>#VALUE!</v>
      </c>
      <c r="AU11" t="e">
        <f>AND('Ark1'!B436,"AAAAAH9+7y4=")</f>
        <v>#VALUE!</v>
      </c>
      <c r="AV11" t="e">
        <f>AND('Ark1'!C436,"AAAAAH9+7y8=")</f>
        <v>#VALUE!</v>
      </c>
      <c r="AW11" t="e">
        <f>AND('Ark1'!D436,"AAAAAH9+7zA=")</f>
        <v>#VALUE!</v>
      </c>
      <c r="AX11" t="e">
        <f>AND('Ark1'!E437,"AAAAAH9+7zE=")</f>
        <v>#VALUE!</v>
      </c>
      <c r="AY11">
        <f>IF('Ark1'!438:438,"AAAAAH9+7zI=",0)</f>
        <v>0</v>
      </c>
      <c r="AZ11" t="e">
        <f>AND('Ark1'!A437,"AAAAAH9+7zM=")</f>
        <v>#VALUE!</v>
      </c>
      <c r="BA11" t="e">
        <f>AND('Ark1'!B437,"AAAAAH9+7zQ=")</f>
        <v>#VALUE!</v>
      </c>
      <c r="BB11" t="e">
        <f>AND('Ark1'!C437,"AAAAAH9+7zU=")</f>
        <v>#VALUE!</v>
      </c>
      <c r="BC11" t="e">
        <f>AND('Ark1'!D437,"AAAAAH9+7zY=")</f>
        <v>#VALUE!</v>
      </c>
      <c r="BD11" t="e">
        <f>AND('Ark1'!E438,"AAAAAH9+7zc=")</f>
        <v>#VALUE!</v>
      </c>
      <c r="BE11">
        <f>IF('Ark1'!439:439,"AAAAAH9+7zg=",0)</f>
        <v>0</v>
      </c>
      <c r="BF11" t="e">
        <f>AND('Ark1'!A438,"AAAAAH9+7zk=")</f>
        <v>#VALUE!</v>
      </c>
      <c r="BG11" t="e">
        <f>AND('Ark1'!B438,"AAAAAH9+7zo=")</f>
        <v>#VALUE!</v>
      </c>
      <c r="BH11" t="e">
        <f>AND('Ark1'!C438,"AAAAAH9+7zs=")</f>
        <v>#VALUE!</v>
      </c>
      <c r="BI11" t="e">
        <f>AND('Ark1'!D438,"AAAAAH9+7zw=")</f>
        <v>#VALUE!</v>
      </c>
      <c r="BJ11" t="e">
        <f>AND('Ark1'!E439,"AAAAAH9+7z0=")</f>
        <v>#VALUE!</v>
      </c>
      <c r="BK11">
        <f>IF('Ark1'!440:440,"AAAAAH9+7z4=",0)</f>
        <v>0</v>
      </c>
      <c r="BL11" t="e">
        <f>AND('Ark1'!A439,"AAAAAH9+7z8=")</f>
        <v>#VALUE!</v>
      </c>
      <c r="BM11" t="e">
        <f>AND('Ark1'!B439,"AAAAAH9+70A=")</f>
        <v>#VALUE!</v>
      </c>
      <c r="BN11" t="e">
        <f>AND('Ark1'!C439,"AAAAAH9+70E=")</f>
        <v>#VALUE!</v>
      </c>
      <c r="BO11" t="e">
        <f>AND('Ark1'!D439,"AAAAAH9+70I=")</f>
        <v>#VALUE!</v>
      </c>
      <c r="BP11" t="e">
        <f>AND('Ark1'!E440,"AAAAAH9+70M=")</f>
        <v>#VALUE!</v>
      </c>
      <c r="BQ11">
        <f>IF('Ark1'!441:441,"AAAAAH9+70Q=",0)</f>
        <v>0</v>
      </c>
      <c r="BR11" t="e">
        <f>AND('Ark1'!A440,"AAAAAH9+70U=")</f>
        <v>#VALUE!</v>
      </c>
      <c r="BS11" t="e">
        <f>AND('Ark1'!B440,"AAAAAH9+70Y=")</f>
        <v>#VALUE!</v>
      </c>
      <c r="BT11" t="e">
        <f>AND('Ark1'!C440,"AAAAAH9+70c=")</f>
        <v>#VALUE!</v>
      </c>
      <c r="BU11" t="e">
        <f>AND('Ark1'!D440,"AAAAAH9+70g=")</f>
        <v>#VALUE!</v>
      </c>
      <c r="BV11" t="e">
        <f>AND('Ark1'!E441,"AAAAAH9+70k=")</f>
        <v>#VALUE!</v>
      </c>
      <c r="BW11">
        <f>IF('Ark1'!444:444,"AAAAAH9+70o=",0)</f>
        <v>0</v>
      </c>
      <c r="BX11" t="e">
        <f>AND('Ark1'!A443,"AAAAAH9+70s=")</f>
        <v>#VALUE!</v>
      </c>
      <c r="BY11" t="e">
        <f>AND('Ark1'!B443,"AAAAAH9+70w=")</f>
        <v>#VALUE!</v>
      </c>
      <c r="BZ11" t="e">
        <f>AND('Ark1'!C443,"AAAAAH9+700=")</f>
        <v>#VALUE!</v>
      </c>
      <c r="CA11" t="e">
        <f>AND('Ark1'!D443,"AAAAAH9+704=")</f>
        <v>#VALUE!</v>
      </c>
      <c r="CB11" t="e">
        <f>AND('Ark1'!E444,"AAAAAH9+708=")</f>
        <v>#VALUE!</v>
      </c>
      <c r="CC11">
        <f>IF('Ark1'!445:445,"AAAAAH9+71A=",0)</f>
        <v>0</v>
      </c>
      <c r="CD11" t="e">
        <f>AND('Ark1'!A444,"AAAAAH9+71E=")</f>
        <v>#VALUE!</v>
      </c>
      <c r="CE11" t="e">
        <f>AND('Ark1'!B444,"AAAAAH9+71I=")</f>
        <v>#VALUE!</v>
      </c>
      <c r="CF11" t="e">
        <f>AND('Ark1'!C444,"AAAAAH9+71M=")</f>
        <v>#VALUE!</v>
      </c>
      <c r="CG11" t="e">
        <f>AND('Ark1'!D444,"AAAAAH9+71Q=")</f>
        <v>#VALUE!</v>
      </c>
      <c r="CH11" t="e">
        <f>AND('Ark1'!E445,"AAAAAH9+71U=")</f>
        <v>#VALUE!</v>
      </c>
      <c r="CI11">
        <f>IF('Ark1'!446:446,"AAAAAH9+71Y=",0)</f>
        <v>0</v>
      </c>
      <c r="CJ11" t="e">
        <f>AND('Ark1'!A445,"AAAAAH9+71c=")</f>
        <v>#VALUE!</v>
      </c>
      <c r="CK11" t="e">
        <f>AND('Ark1'!B445,"AAAAAH9+71g=")</f>
        <v>#VALUE!</v>
      </c>
      <c r="CL11" t="e">
        <f>AND('Ark1'!C445,"AAAAAH9+71k=")</f>
        <v>#VALUE!</v>
      </c>
      <c r="CM11" t="e">
        <f>AND('Ark1'!D445,"AAAAAH9+71o=")</f>
        <v>#VALUE!</v>
      </c>
      <c r="CN11" t="e">
        <f>AND('Ark1'!E446,"AAAAAH9+71s=")</f>
        <v>#VALUE!</v>
      </c>
      <c r="CO11">
        <f>IF('Ark1'!447:447,"AAAAAH9+71w=",0)</f>
        <v>0</v>
      </c>
      <c r="CP11" t="e">
        <f>AND('Ark1'!A446,"AAAAAH9+710=")</f>
        <v>#VALUE!</v>
      </c>
      <c r="CQ11" t="e">
        <f>AND('Ark1'!B446,"AAAAAH9+714=")</f>
        <v>#VALUE!</v>
      </c>
      <c r="CR11" t="e">
        <f>AND('Ark1'!C446,"AAAAAH9+718=")</f>
        <v>#VALUE!</v>
      </c>
      <c r="CS11" t="e">
        <f>AND('Ark1'!D446,"AAAAAH9+72A=")</f>
        <v>#VALUE!</v>
      </c>
      <c r="CT11" t="e">
        <f>AND('Ark1'!E447,"AAAAAH9+72E=")</f>
        <v>#VALUE!</v>
      </c>
      <c r="CU11">
        <f>IF('Ark1'!448:448,"AAAAAH9+72I=",0)</f>
        <v>0</v>
      </c>
      <c r="CV11" t="e">
        <f>AND('Ark1'!A447,"AAAAAH9+72M=")</f>
        <v>#VALUE!</v>
      </c>
      <c r="CW11" t="e">
        <f>AND('Ark1'!B447,"AAAAAH9+72Q=")</f>
        <v>#VALUE!</v>
      </c>
      <c r="CX11" t="e">
        <f>AND('Ark1'!C447,"AAAAAH9+72U=")</f>
        <v>#VALUE!</v>
      </c>
      <c r="CY11" t="e">
        <f>AND('Ark1'!D447,"AAAAAH9+72Y=")</f>
        <v>#VALUE!</v>
      </c>
      <c r="CZ11" t="e">
        <f>AND('Ark1'!E448,"AAAAAH9+72c=")</f>
        <v>#VALUE!</v>
      </c>
      <c r="DA11">
        <f>IF('Ark1'!449:449,"AAAAAH9+72g=",0)</f>
        <v>0</v>
      </c>
      <c r="DB11" t="e">
        <f>AND('Ark1'!A448,"AAAAAH9+72k=")</f>
        <v>#VALUE!</v>
      </c>
      <c r="DC11" t="e">
        <f>AND('Ark1'!B448,"AAAAAH9+72o=")</f>
        <v>#VALUE!</v>
      </c>
      <c r="DD11" t="e">
        <f>AND('Ark1'!C448,"AAAAAH9+72s=")</f>
        <v>#VALUE!</v>
      </c>
      <c r="DE11" t="e">
        <f>AND('Ark1'!D448,"AAAAAH9+72w=")</f>
        <v>#VALUE!</v>
      </c>
      <c r="DF11" t="e">
        <f>AND('Ark1'!E449,"AAAAAH9+720=")</f>
        <v>#VALUE!</v>
      </c>
      <c r="DG11">
        <f>IF('Ark1'!450:450,"AAAAAH9+724=",0)</f>
        <v>0</v>
      </c>
      <c r="DH11" t="e">
        <f>AND('Ark1'!A449,"AAAAAH9+728=")</f>
        <v>#VALUE!</v>
      </c>
      <c r="DI11" t="e">
        <f>AND('Ark1'!B449,"AAAAAH9+73A=")</f>
        <v>#VALUE!</v>
      </c>
      <c r="DJ11" t="e">
        <f>AND('Ark1'!C449,"AAAAAH9+73E=")</f>
        <v>#VALUE!</v>
      </c>
      <c r="DK11" t="e">
        <f>AND('Ark1'!D449,"AAAAAH9+73I=")</f>
        <v>#VALUE!</v>
      </c>
      <c r="DL11" t="e">
        <f>AND('Ark1'!E450,"AAAAAH9+73M=")</f>
        <v>#VALUE!</v>
      </c>
      <c r="DM11">
        <f>IF('Ark1'!451:451,"AAAAAH9+73Q=",0)</f>
        <v>0</v>
      </c>
      <c r="DN11" t="e">
        <f>AND('Ark1'!A450,"AAAAAH9+73U=")</f>
        <v>#VALUE!</v>
      </c>
      <c r="DO11" t="e">
        <f>AND('Ark1'!B450,"AAAAAH9+73Y=")</f>
        <v>#VALUE!</v>
      </c>
      <c r="DP11" t="e">
        <f>AND('Ark1'!C450,"AAAAAH9+73c=")</f>
        <v>#VALUE!</v>
      </c>
      <c r="DQ11" t="e">
        <f>AND('Ark1'!D450,"AAAAAH9+73g=")</f>
        <v>#VALUE!</v>
      </c>
      <c r="DR11" t="e">
        <f>AND('Ark1'!E451,"AAAAAH9+73k=")</f>
        <v>#VALUE!</v>
      </c>
      <c r="DS11">
        <f>IF('Ark1'!452:452,"AAAAAH9+73o=",0)</f>
        <v>0</v>
      </c>
      <c r="DT11" t="e">
        <f>AND('Ark1'!A451,"AAAAAH9+73s=")</f>
        <v>#VALUE!</v>
      </c>
      <c r="DU11" t="e">
        <f>AND('Ark1'!B451,"AAAAAH9+73w=")</f>
        <v>#VALUE!</v>
      </c>
      <c r="DV11" t="e">
        <f>AND('Ark1'!C451,"AAAAAH9+730=")</f>
        <v>#VALUE!</v>
      </c>
      <c r="DW11" t="e">
        <f>AND('Ark1'!D451,"AAAAAH9+734=")</f>
        <v>#VALUE!</v>
      </c>
      <c r="DX11" t="e">
        <f>AND('Ark1'!E452,"AAAAAH9+738=")</f>
        <v>#VALUE!</v>
      </c>
      <c r="DY11">
        <f>IF('Ark1'!453:453,"AAAAAH9+74A=",0)</f>
        <v>0</v>
      </c>
      <c r="DZ11" t="e">
        <f>AND('Ark1'!A452,"AAAAAH9+74E=")</f>
        <v>#VALUE!</v>
      </c>
      <c r="EA11" t="e">
        <f>AND('Ark1'!B452,"AAAAAH9+74I=")</f>
        <v>#VALUE!</v>
      </c>
      <c r="EB11" t="e">
        <f>AND('Ark1'!C452,"AAAAAH9+74M=")</f>
        <v>#VALUE!</v>
      </c>
      <c r="EC11" t="e">
        <f>AND('Ark1'!D452,"AAAAAH9+74Q=")</f>
        <v>#VALUE!</v>
      </c>
      <c r="ED11" t="e">
        <f>AND('Ark1'!E453,"AAAAAH9+74U=")</f>
        <v>#VALUE!</v>
      </c>
      <c r="EE11">
        <f>IF('Ark1'!454:454,"AAAAAH9+74Y=",0)</f>
        <v>0</v>
      </c>
      <c r="EF11" t="e">
        <f>AND('Ark1'!A453,"AAAAAH9+74c=")</f>
        <v>#VALUE!</v>
      </c>
      <c r="EG11" t="e">
        <f>AND('Ark1'!B453,"AAAAAH9+74g=")</f>
        <v>#VALUE!</v>
      </c>
      <c r="EH11" t="e">
        <f>AND('Ark1'!C453,"AAAAAH9+74k=")</f>
        <v>#VALUE!</v>
      </c>
      <c r="EI11" t="e">
        <f>AND('Ark1'!D453,"AAAAAH9+74o=")</f>
        <v>#VALUE!</v>
      </c>
      <c r="EJ11" t="e">
        <f>AND('Ark1'!E454,"AAAAAH9+74s=")</f>
        <v>#VALUE!</v>
      </c>
      <c r="EK11">
        <f>IF('Ark1'!455:455,"AAAAAH9+74w=",0)</f>
        <v>0</v>
      </c>
      <c r="EL11" t="e">
        <f>AND('Ark1'!A454,"AAAAAH9+740=")</f>
        <v>#VALUE!</v>
      </c>
      <c r="EM11" t="e">
        <f>AND('Ark1'!B454,"AAAAAH9+744=")</f>
        <v>#VALUE!</v>
      </c>
      <c r="EN11" t="e">
        <f>AND('Ark1'!C454,"AAAAAH9+748=")</f>
        <v>#VALUE!</v>
      </c>
      <c r="EO11" t="e">
        <f>AND('Ark1'!D454,"AAAAAH9+75A=")</f>
        <v>#VALUE!</v>
      </c>
      <c r="EP11" t="e">
        <f>AND('Ark1'!E455,"AAAAAH9+75E=")</f>
        <v>#VALUE!</v>
      </c>
      <c r="EQ11">
        <f>IF('Ark1'!456:456,"AAAAAH9+75I=",0)</f>
        <v>0</v>
      </c>
      <c r="ER11" t="e">
        <f>AND('Ark1'!A455,"AAAAAH9+75M=")</f>
        <v>#VALUE!</v>
      </c>
      <c r="ES11" t="e">
        <f>AND('Ark1'!B455,"AAAAAH9+75Q=")</f>
        <v>#VALUE!</v>
      </c>
      <c r="ET11" t="e">
        <f>AND('Ark1'!C455,"AAAAAH9+75U=")</f>
        <v>#VALUE!</v>
      </c>
      <c r="EU11" t="e">
        <f>AND('Ark1'!D455,"AAAAAH9+75Y=")</f>
        <v>#VALUE!</v>
      </c>
      <c r="EV11" t="e">
        <f>AND('Ark1'!E456,"AAAAAH9+75c=")</f>
        <v>#VALUE!</v>
      </c>
      <c r="EW11">
        <f>IF('Ark1'!457:457,"AAAAAH9+75g=",0)</f>
        <v>0</v>
      </c>
      <c r="EX11" t="e">
        <f>AND('Ark1'!A456,"AAAAAH9+75k=")</f>
        <v>#VALUE!</v>
      </c>
      <c r="EY11" t="e">
        <f>AND('Ark1'!B456,"AAAAAH9+75o=")</f>
        <v>#VALUE!</v>
      </c>
      <c r="EZ11" t="e">
        <f>AND('Ark1'!C456,"AAAAAH9+75s=")</f>
        <v>#VALUE!</v>
      </c>
      <c r="FA11" t="e">
        <f>AND('Ark1'!D456,"AAAAAH9+75w=")</f>
        <v>#VALUE!</v>
      </c>
      <c r="FB11" t="e">
        <f>AND('Ark1'!E457,"AAAAAH9+750=")</f>
        <v>#VALUE!</v>
      </c>
      <c r="FC11">
        <f>IF('Ark1'!458:458,"AAAAAH9+754=",0)</f>
        <v>0</v>
      </c>
      <c r="FD11" t="e">
        <f>AND('Ark1'!A457,"AAAAAH9+758=")</f>
        <v>#VALUE!</v>
      </c>
      <c r="FE11" t="e">
        <f>AND('Ark1'!B457,"AAAAAH9+76A=")</f>
        <v>#VALUE!</v>
      </c>
      <c r="FF11" t="e">
        <f>AND('Ark1'!C457,"AAAAAH9+76E=")</f>
        <v>#VALUE!</v>
      </c>
      <c r="FG11" t="e">
        <f>AND('Ark1'!D457,"AAAAAH9+76I=")</f>
        <v>#VALUE!</v>
      </c>
      <c r="FH11" t="e">
        <f>AND('Ark1'!E458,"AAAAAH9+76M=")</f>
        <v>#VALUE!</v>
      </c>
      <c r="FI11">
        <f>IF('Ark1'!459:459,"AAAAAH9+76Q=",0)</f>
        <v>0</v>
      </c>
      <c r="FJ11" t="e">
        <f>AND('Ark1'!A458,"AAAAAH9+76U=")</f>
        <v>#VALUE!</v>
      </c>
      <c r="FK11" t="e">
        <f>AND('Ark1'!B458,"AAAAAH9+76Y=")</f>
        <v>#VALUE!</v>
      </c>
      <c r="FL11" t="e">
        <f>AND('Ark1'!C458,"AAAAAH9+76c=")</f>
        <v>#VALUE!</v>
      </c>
      <c r="FM11" t="e">
        <f>AND('Ark1'!D458,"AAAAAH9+76g=")</f>
        <v>#VALUE!</v>
      </c>
      <c r="FN11" t="e">
        <f>AND('Ark1'!E459,"AAAAAH9+76k=")</f>
        <v>#VALUE!</v>
      </c>
      <c r="FO11">
        <f>IF('Ark1'!460:460,"AAAAAH9+76o=",0)</f>
        <v>0</v>
      </c>
      <c r="FP11" t="e">
        <f>AND('Ark1'!A459,"AAAAAH9+76s=")</f>
        <v>#VALUE!</v>
      </c>
      <c r="FQ11" t="e">
        <f>AND('Ark1'!B459,"AAAAAH9+76w=")</f>
        <v>#VALUE!</v>
      </c>
      <c r="FR11" t="e">
        <f>AND('Ark1'!C459,"AAAAAH9+760=")</f>
        <v>#VALUE!</v>
      </c>
      <c r="FS11" t="e">
        <f>AND('Ark1'!D459,"AAAAAH9+764=")</f>
        <v>#VALUE!</v>
      </c>
      <c r="FT11" t="e">
        <f>AND('Ark1'!E460,"AAAAAH9+768=")</f>
        <v>#VALUE!</v>
      </c>
      <c r="FU11">
        <f>IF('Ark1'!461:461,"AAAAAH9+77A=",0)</f>
        <v>0</v>
      </c>
      <c r="FV11" t="e">
        <f>AND('Ark1'!A460,"AAAAAH9+77E=")</f>
        <v>#VALUE!</v>
      </c>
      <c r="FW11" t="e">
        <f>AND('Ark1'!B460,"AAAAAH9+77I=")</f>
        <v>#VALUE!</v>
      </c>
      <c r="FX11" t="e">
        <f>AND('Ark1'!C460,"AAAAAH9+77M=")</f>
        <v>#VALUE!</v>
      </c>
      <c r="FY11" t="e">
        <f>AND('Ark1'!D460,"AAAAAH9+77Q=")</f>
        <v>#VALUE!</v>
      </c>
      <c r="FZ11" t="e">
        <f>AND('Ark1'!E461,"AAAAAH9+77U=")</f>
        <v>#VALUE!</v>
      </c>
      <c r="GA11">
        <f>IF('Ark1'!462:462,"AAAAAH9+77Y=",0)</f>
        <v>0</v>
      </c>
      <c r="GB11" t="e">
        <f>AND('Ark1'!A461,"AAAAAH9+77c=")</f>
        <v>#VALUE!</v>
      </c>
      <c r="GC11" t="e">
        <f>AND('Ark1'!B461,"AAAAAH9+77g=")</f>
        <v>#VALUE!</v>
      </c>
      <c r="GD11" t="e">
        <f>AND('Ark1'!C461,"AAAAAH9+77k=")</f>
        <v>#VALUE!</v>
      </c>
      <c r="GE11" t="e">
        <f>AND('Ark1'!D461,"AAAAAH9+77o=")</f>
        <v>#VALUE!</v>
      </c>
      <c r="GF11" t="e">
        <f>AND('Ark1'!E462,"AAAAAH9+77s=")</f>
        <v>#VALUE!</v>
      </c>
      <c r="GG11">
        <f>IF('Ark1'!463:463,"AAAAAH9+77w=",0)</f>
        <v>0</v>
      </c>
      <c r="GH11" t="e">
        <f>AND('Ark1'!A462,"AAAAAH9+770=")</f>
        <v>#VALUE!</v>
      </c>
      <c r="GI11" t="e">
        <f>AND('Ark1'!B462,"AAAAAH9+774=")</f>
        <v>#VALUE!</v>
      </c>
      <c r="GJ11" t="e">
        <f>AND('Ark1'!C462,"AAAAAH9+778=")</f>
        <v>#VALUE!</v>
      </c>
      <c r="GK11" t="e">
        <f>AND('Ark1'!D462,"AAAAAH9+78A=")</f>
        <v>#VALUE!</v>
      </c>
      <c r="GL11" t="e">
        <f>AND('Ark1'!E463,"AAAAAH9+78E=")</f>
        <v>#VALUE!</v>
      </c>
      <c r="GM11">
        <f>IF('Ark1'!464:464,"AAAAAH9+78I=",0)</f>
        <v>0</v>
      </c>
      <c r="GN11" t="e">
        <f>AND('Ark1'!A463,"AAAAAH9+78M=")</f>
        <v>#VALUE!</v>
      </c>
      <c r="GO11" t="e">
        <f>AND('Ark1'!B463,"AAAAAH9+78Q=")</f>
        <v>#VALUE!</v>
      </c>
      <c r="GP11" t="e">
        <f>AND('Ark1'!C463,"AAAAAH9+78U=")</f>
        <v>#VALUE!</v>
      </c>
      <c r="GQ11" t="e">
        <f>AND('Ark1'!D463,"AAAAAH9+78Y=")</f>
        <v>#VALUE!</v>
      </c>
      <c r="GR11" t="e">
        <f>AND('Ark1'!E464,"AAAAAH9+78c=")</f>
        <v>#VALUE!</v>
      </c>
      <c r="GS11">
        <f>IF('Ark1'!465:465,"AAAAAH9+78g=",0)</f>
        <v>0</v>
      </c>
      <c r="GT11" t="e">
        <f>AND('Ark1'!A464,"AAAAAH9+78k=")</f>
        <v>#VALUE!</v>
      </c>
      <c r="GU11" t="e">
        <f>AND('Ark1'!B464,"AAAAAH9+78o=")</f>
        <v>#VALUE!</v>
      </c>
      <c r="GV11" t="e">
        <f>AND('Ark1'!C464,"AAAAAH9+78s=")</f>
        <v>#VALUE!</v>
      </c>
      <c r="GW11" t="e">
        <f>AND('Ark1'!D464,"AAAAAH9+78w=")</f>
        <v>#VALUE!</v>
      </c>
      <c r="GX11" t="e">
        <f>AND('Ark1'!E465,"AAAAAH9+780=")</f>
        <v>#VALUE!</v>
      </c>
      <c r="GY11">
        <f>IF('Ark1'!466:466,"AAAAAH9+784=",0)</f>
        <v>0</v>
      </c>
      <c r="GZ11" t="e">
        <f>AND('Ark1'!A465,"AAAAAH9+788=")</f>
        <v>#VALUE!</v>
      </c>
      <c r="HA11" t="e">
        <f>AND('Ark1'!B465,"AAAAAH9+79A=")</f>
        <v>#VALUE!</v>
      </c>
      <c r="HB11" t="e">
        <f>AND('Ark1'!C465,"AAAAAH9+79E=")</f>
        <v>#VALUE!</v>
      </c>
      <c r="HC11" t="e">
        <f>AND('Ark1'!D465,"AAAAAH9+79I=")</f>
        <v>#VALUE!</v>
      </c>
      <c r="HD11" t="e">
        <f>AND('Ark1'!E466,"AAAAAH9+79M=")</f>
        <v>#VALUE!</v>
      </c>
      <c r="HE11">
        <f>IF('Ark1'!467:467,"AAAAAH9+79Q=",0)</f>
        <v>0</v>
      </c>
      <c r="HF11" t="e">
        <f>AND('Ark1'!A466,"AAAAAH9+79U=")</f>
        <v>#VALUE!</v>
      </c>
      <c r="HG11" t="e">
        <f>AND('Ark1'!B466,"AAAAAH9+79Y=")</f>
        <v>#VALUE!</v>
      </c>
      <c r="HH11" t="e">
        <f>AND('Ark1'!C466,"AAAAAH9+79c=")</f>
        <v>#VALUE!</v>
      </c>
      <c r="HI11" t="e">
        <f>AND('Ark1'!D466,"AAAAAH9+79g=")</f>
        <v>#VALUE!</v>
      </c>
      <c r="HJ11" t="e">
        <f>AND('Ark1'!E467,"AAAAAH9+79k=")</f>
        <v>#VALUE!</v>
      </c>
      <c r="HK11">
        <f>IF('Ark1'!468:468,"AAAAAH9+79o=",0)</f>
        <v>0</v>
      </c>
      <c r="HL11" t="e">
        <f>AND('Ark1'!A467,"AAAAAH9+79s=")</f>
        <v>#VALUE!</v>
      </c>
      <c r="HM11" t="e">
        <f>AND('Ark1'!B467,"AAAAAH9+79w=")</f>
        <v>#VALUE!</v>
      </c>
      <c r="HN11" t="e">
        <f>AND('Ark1'!C467,"AAAAAH9+790=")</f>
        <v>#VALUE!</v>
      </c>
      <c r="HO11" t="e">
        <f>AND('Ark1'!D467,"AAAAAH9+794=")</f>
        <v>#VALUE!</v>
      </c>
      <c r="HP11" t="e">
        <f>AND('Ark1'!E468,"AAAAAH9+798=")</f>
        <v>#VALUE!</v>
      </c>
      <c r="HQ11">
        <f>IF('Ark1'!469:469,"AAAAAH9+7+A=",0)</f>
        <v>0</v>
      </c>
      <c r="HR11" t="e">
        <f>AND('Ark1'!A468,"AAAAAH9+7+E=")</f>
        <v>#VALUE!</v>
      </c>
      <c r="HS11" t="e">
        <f>AND('Ark1'!B468,"AAAAAH9+7+I=")</f>
        <v>#VALUE!</v>
      </c>
      <c r="HT11" t="e">
        <f>AND('Ark1'!C468,"AAAAAH9+7+M=")</f>
        <v>#VALUE!</v>
      </c>
      <c r="HU11" t="e">
        <f>AND('Ark1'!D468,"AAAAAH9+7+Q=")</f>
        <v>#VALUE!</v>
      </c>
      <c r="HV11" t="e">
        <f>AND('Ark1'!E469,"AAAAAH9+7+U=")</f>
        <v>#VALUE!</v>
      </c>
      <c r="HW11">
        <f>IF('Ark1'!470:470,"AAAAAH9+7+Y=",0)</f>
        <v>0</v>
      </c>
      <c r="HX11" t="e">
        <f>AND('Ark1'!A469,"AAAAAH9+7+c=")</f>
        <v>#VALUE!</v>
      </c>
      <c r="HY11" t="e">
        <f>AND('Ark1'!B469,"AAAAAH9+7+g=")</f>
        <v>#VALUE!</v>
      </c>
      <c r="HZ11" t="e">
        <f>AND('Ark1'!C469,"AAAAAH9+7+k=")</f>
        <v>#VALUE!</v>
      </c>
      <c r="IA11" t="e">
        <f>AND('Ark1'!D469,"AAAAAH9+7+o=")</f>
        <v>#VALUE!</v>
      </c>
      <c r="IB11" t="e">
        <f>AND('Ark1'!E470,"AAAAAH9+7+s=")</f>
        <v>#VALUE!</v>
      </c>
      <c r="IC11">
        <f>IF('Ark1'!471:471,"AAAAAH9+7+w=",0)</f>
        <v>0</v>
      </c>
      <c r="ID11" t="e">
        <f>AND('Ark1'!A470,"AAAAAH9+7+0=")</f>
        <v>#VALUE!</v>
      </c>
      <c r="IE11" t="e">
        <f>AND('Ark1'!B470,"AAAAAH9+7+4=")</f>
        <v>#VALUE!</v>
      </c>
      <c r="IF11" t="e">
        <f>AND('Ark1'!C470,"AAAAAH9+7+8=")</f>
        <v>#VALUE!</v>
      </c>
      <c r="IG11" t="e">
        <f>AND('Ark1'!D470,"AAAAAH9+7/A=")</f>
        <v>#VALUE!</v>
      </c>
      <c r="IH11" t="e">
        <f>AND('Ark1'!E471,"AAAAAH9+7/E=")</f>
        <v>#VALUE!</v>
      </c>
      <c r="II11">
        <f>IF('Ark1'!472:472,"AAAAAH9+7/I=",0)</f>
        <v>0</v>
      </c>
      <c r="IJ11" t="e">
        <f>AND('Ark1'!A471,"AAAAAH9+7/M=")</f>
        <v>#VALUE!</v>
      </c>
      <c r="IK11" t="e">
        <f>AND('Ark1'!B471,"AAAAAH9+7/Q=")</f>
        <v>#VALUE!</v>
      </c>
      <c r="IL11" t="e">
        <f>AND('Ark1'!C471,"AAAAAH9+7/U=")</f>
        <v>#VALUE!</v>
      </c>
      <c r="IM11" t="e">
        <f>AND('Ark1'!D471,"AAAAAH9+7/Y=")</f>
        <v>#VALUE!</v>
      </c>
      <c r="IN11" t="e">
        <f>AND('Ark1'!E472,"AAAAAH9+7/c=")</f>
        <v>#VALUE!</v>
      </c>
      <c r="IO11">
        <f>IF('Ark1'!473:473,"AAAAAH9+7/g=",0)</f>
        <v>0</v>
      </c>
      <c r="IP11" t="e">
        <f>AND('Ark1'!A472,"AAAAAH9+7/k=")</f>
        <v>#VALUE!</v>
      </c>
      <c r="IQ11" t="e">
        <f>AND('Ark1'!B472,"AAAAAH9+7/o=")</f>
        <v>#VALUE!</v>
      </c>
      <c r="IR11" t="e">
        <f>AND('Ark1'!C472,"AAAAAH9+7/s=")</f>
        <v>#VALUE!</v>
      </c>
      <c r="IS11" t="e">
        <f>AND('Ark1'!D472,"AAAAAH9+7/w=")</f>
        <v>#VALUE!</v>
      </c>
      <c r="IT11" t="e">
        <f>AND('Ark1'!E473,"AAAAAH9+7/0=")</f>
        <v>#VALUE!</v>
      </c>
      <c r="IU11">
        <f>IF('Ark1'!474:474,"AAAAAH9+7/4=",0)</f>
        <v>0</v>
      </c>
      <c r="IV11" t="e">
        <f>AND('Ark1'!A473,"AAAAAH9+7/8=")</f>
        <v>#VALUE!</v>
      </c>
    </row>
    <row r="12" spans="1:256" x14ac:dyDescent="0.25">
      <c r="A12" t="e">
        <f>AND('Ark1'!B473,"AAAAAH/f/QA=")</f>
        <v>#VALUE!</v>
      </c>
      <c r="B12" t="e">
        <f>AND('Ark1'!C473,"AAAAAH/f/QE=")</f>
        <v>#VALUE!</v>
      </c>
      <c r="C12" t="e">
        <f>AND('Ark1'!D473,"AAAAAH/f/QI=")</f>
        <v>#VALUE!</v>
      </c>
      <c r="D12" t="e">
        <f>AND('Ark1'!E474,"AAAAAH/f/QM=")</f>
        <v>#VALUE!</v>
      </c>
      <c r="E12">
        <f>IF('Ark1'!475:475,"AAAAAH/f/QQ=",0)</f>
        <v>0</v>
      </c>
      <c r="F12" t="e">
        <f>AND('Ark1'!A474,"AAAAAH/f/QU=")</f>
        <v>#VALUE!</v>
      </c>
      <c r="G12" t="e">
        <f>AND('Ark1'!B474,"AAAAAH/f/QY=")</f>
        <v>#VALUE!</v>
      </c>
      <c r="H12" t="e">
        <f>AND('Ark1'!C474,"AAAAAH/f/Qc=")</f>
        <v>#VALUE!</v>
      </c>
      <c r="I12" t="e">
        <f>AND('Ark1'!D474,"AAAAAH/f/Qg=")</f>
        <v>#VALUE!</v>
      </c>
      <c r="J12" t="e">
        <f>AND('Ark1'!E475,"AAAAAH/f/Qk=")</f>
        <v>#VALUE!</v>
      </c>
      <c r="K12">
        <f>IF('Ark1'!476:476,"AAAAAH/f/Qo=",0)</f>
        <v>0</v>
      </c>
      <c r="L12" t="e">
        <f>AND('Ark1'!A475,"AAAAAH/f/Qs=")</f>
        <v>#VALUE!</v>
      </c>
      <c r="M12" t="e">
        <f>AND('Ark1'!B475,"AAAAAH/f/Qw=")</f>
        <v>#VALUE!</v>
      </c>
      <c r="N12" t="e">
        <f>AND('Ark1'!C475,"AAAAAH/f/Q0=")</f>
        <v>#VALUE!</v>
      </c>
      <c r="O12" t="e">
        <f>AND('Ark1'!D475,"AAAAAH/f/Q4=")</f>
        <v>#VALUE!</v>
      </c>
      <c r="P12" t="e">
        <f>AND('Ark1'!E476,"AAAAAH/f/Q8=")</f>
        <v>#VALUE!</v>
      </c>
      <c r="Q12">
        <f>IF('Ark1'!477:477,"AAAAAH/f/RA=",0)</f>
        <v>0</v>
      </c>
      <c r="R12" t="e">
        <f>AND('Ark1'!A476,"AAAAAH/f/RE=")</f>
        <v>#VALUE!</v>
      </c>
      <c r="S12" t="e">
        <f>AND('Ark1'!B476,"AAAAAH/f/RI=")</f>
        <v>#VALUE!</v>
      </c>
      <c r="T12" t="e">
        <f>AND('Ark1'!C476,"AAAAAH/f/RM=")</f>
        <v>#VALUE!</v>
      </c>
      <c r="U12" t="e">
        <f>AND('Ark1'!D476,"AAAAAH/f/RQ=")</f>
        <v>#VALUE!</v>
      </c>
      <c r="V12" t="e">
        <f>AND('Ark1'!E477,"AAAAAH/f/RU=")</f>
        <v>#VALUE!</v>
      </c>
      <c r="W12">
        <f>IF('Ark1'!478:478,"AAAAAH/f/RY=",0)</f>
        <v>0</v>
      </c>
      <c r="X12" t="e">
        <f>AND('Ark1'!A477,"AAAAAH/f/Rc=")</f>
        <v>#VALUE!</v>
      </c>
      <c r="Y12" t="e">
        <f>AND('Ark1'!B477,"AAAAAH/f/Rg=")</f>
        <v>#VALUE!</v>
      </c>
      <c r="Z12" t="e">
        <f>AND('Ark1'!C477,"AAAAAH/f/Rk=")</f>
        <v>#VALUE!</v>
      </c>
      <c r="AA12" t="e">
        <f>AND('Ark1'!D477,"AAAAAH/f/Ro=")</f>
        <v>#VALUE!</v>
      </c>
      <c r="AB12" t="e">
        <f>AND('Ark1'!E478,"AAAAAH/f/Rs=")</f>
        <v>#VALUE!</v>
      </c>
      <c r="AC12">
        <f>IF('Ark1'!479:479,"AAAAAH/f/Rw=",0)</f>
        <v>0</v>
      </c>
      <c r="AD12" t="e">
        <f>AND('Ark1'!A478,"AAAAAH/f/R0=")</f>
        <v>#VALUE!</v>
      </c>
      <c r="AE12" t="e">
        <f>AND('Ark1'!B478,"AAAAAH/f/R4=")</f>
        <v>#VALUE!</v>
      </c>
      <c r="AF12" t="e">
        <f>AND('Ark1'!C478,"AAAAAH/f/R8=")</f>
        <v>#VALUE!</v>
      </c>
      <c r="AG12" t="e">
        <f>AND('Ark1'!D478,"AAAAAH/f/SA=")</f>
        <v>#VALUE!</v>
      </c>
      <c r="AH12" t="e">
        <f>AND('Ark1'!E479,"AAAAAH/f/SE=")</f>
        <v>#VALUE!</v>
      </c>
      <c r="AI12">
        <f>IF('Ark1'!480:480,"AAAAAH/f/SI=",0)</f>
        <v>0</v>
      </c>
      <c r="AJ12" t="e">
        <f>AND('Ark1'!A479,"AAAAAH/f/SM=")</f>
        <v>#VALUE!</v>
      </c>
      <c r="AK12" t="e">
        <f>AND('Ark1'!B479,"AAAAAH/f/SQ=")</f>
        <v>#VALUE!</v>
      </c>
      <c r="AL12" t="e">
        <f>AND('Ark1'!C479,"AAAAAH/f/SU=")</f>
        <v>#VALUE!</v>
      </c>
      <c r="AM12" t="e">
        <f>AND('Ark1'!D479,"AAAAAH/f/SY=")</f>
        <v>#VALUE!</v>
      </c>
      <c r="AN12" t="e">
        <f>AND('Ark1'!E480,"AAAAAH/f/Sc=")</f>
        <v>#VALUE!</v>
      </c>
      <c r="AO12">
        <f>IF('Ark1'!481:481,"AAAAAH/f/Sg=",0)</f>
        <v>0</v>
      </c>
      <c r="AP12" t="e">
        <f>AND('Ark1'!A480,"AAAAAH/f/Sk=")</f>
        <v>#VALUE!</v>
      </c>
      <c r="AQ12" t="e">
        <f>AND('Ark1'!B480,"AAAAAH/f/So=")</f>
        <v>#VALUE!</v>
      </c>
      <c r="AR12" t="e">
        <f>AND('Ark1'!C480,"AAAAAH/f/Ss=")</f>
        <v>#VALUE!</v>
      </c>
      <c r="AS12" t="e">
        <f>AND('Ark1'!D480,"AAAAAH/f/Sw=")</f>
        <v>#VALUE!</v>
      </c>
      <c r="AT12" t="e">
        <f>AND('Ark1'!E481,"AAAAAH/f/S0=")</f>
        <v>#VALUE!</v>
      </c>
      <c r="AU12">
        <f>IF('Ark1'!482:482,"AAAAAH/f/S4=",0)</f>
        <v>0</v>
      </c>
      <c r="AV12" t="e">
        <f>AND('Ark1'!A481,"AAAAAH/f/S8=")</f>
        <v>#VALUE!</v>
      </c>
      <c r="AW12" t="e">
        <f>AND('Ark1'!B481,"AAAAAH/f/TA=")</f>
        <v>#VALUE!</v>
      </c>
      <c r="AX12" t="e">
        <f>AND('Ark1'!C481,"AAAAAH/f/TE=")</f>
        <v>#VALUE!</v>
      </c>
      <c r="AY12" t="e">
        <f>AND('Ark1'!D481,"AAAAAH/f/TI=")</f>
        <v>#VALUE!</v>
      </c>
      <c r="AZ12" t="e">
        <f>AND('Ark1'!E482,"AAAAAH/f/TM=")</f>
        <v>#VALUE!</v>
      </c>
      <c r="BA12">
        <f>IF('Ark1'!483:483,"AAAAAH/f/TQ=",0)</f>
        <v>0</v>
      </c>
      <c r="BB12" t="e">
        <f>AND('Ark1'!A482,"AAAAAH/f/TU=")</f>
        <v>#VALUE!</v>
      </c>
      <c r="BC12" t="e">
        <f>AND('Ark1'!B482,"AAAAAH/f/TY=")</f>
        <v>#VALUE!</v>
      </c>
      <c r="BD12" t="e">
        <f>AND('Ark1'!C482,"AAAAAH/f/Tc=")</f>
        <v>#VALUE!</v>
      </c>
      <c r="BE12" t="e">
        <f>AND('Ark1'!D482,"AAAAAH/f/Tg=")</f>
        <v>#VALUE!</v>
      </c>
      <c r="BF12" t="e">
        <f>AND('Ark1'!E483,"AAAAAH/f/Tk=")</f>
        <v>#VALUE!</v>
      </c>
      <c r="BG12">
        <f>IF('Ark1'!484:484,"AAAAAH/f/To=",0)</f>
        <v>0</v>
      </c>
      <c r="BH12" t="e">
        <f>AND('Ark1'!A483,"AAAAAH/f/Ts=")</f>
        <v>#VALUE!</v>
      </c>
      <c r="BI12" t="e">
        <f>AND('Ark1'!B483,"AAAAAH/f/Tw=")</f>
        <v>#VALUE!</v>
      </c>
      <c r="BJ12" t="e">
        <f>AND('Ark1'!C483,"AAAAAH/f/T0=")</f>
        <v>#VALUE!</v>
      </c>
      <c r="BK12" t="e">
        <f>AND('Ark1'!D483,"AAAAAH/f/T4=")</f>
        <v>#VALUE!</v>
      </c>
      <c r="BL12" t="e">
        <f>AND('Ark1'!E484,"AAAAAH/f/T8=")</f>
        <v>#VALUE!</v>
      </c>
      <c r="BM12">
        <f>IF('Ark1'!485:485,"AAAAAH/f/UA=",0)</f>
        <v>0</v>
      </c>
      <c r="BN12" t="e">
        <f>AND('Ark1'!A484,"AAAAAH/f/UE=")</f>
        <v>#VALUE!</v>
      </c>
      <c r="BO12" t="e">
        <f>AND('Ark1'!B484,"AAAAAH/f/UI=")</f>
        <v>#VALUE!</v>
      </c>
      <c r="BP12" t="e">
        <f>AND('Ark1'!C484,"AAAAAH/f/UM=")</f>
        <v>#VALUE!</v>
      </c>
      <c r="BQ12" t="e">
        <f>AND('Ark1'!D484,"AAAAAH/f/UQ=")</f>
        <v>#VALUE!</v>
      </c>
      <c r="BR12" t="e">
        <f>AND('Ark1'!E485,"AAAAAH/f/UU=")</f>
        <v>#VALUE!</v>
      </c>
      <c r="BS12">
        <f>IF('Ark1'!486:486,"AAAAAH/f/UY=",0)</f>
        <v>0</v>
      </c>
      <c r="BT12" t="e">
        <f>AND('Ark1'!A485,"AAAAAH/f/Uc=")</f>
        <v>#VALUE!</v>
      </c>
      <c r="BU12" t="e">
        <f>AND('Ark1'!B485,"AAAAAH/f/Ug=")</f>
        <v>#VALUE!</v>
      </c>
      <c r="BV12" t="e">
        <f>AND('Ark1'!C485,"AAAAAH/f/Uk=")</f>
        <v>#VALUE!</v>
      </c>
      <c r="BW12" t="e">
        <f>AND('Ark1'!D485,"AAAAAH/f/Uo=")</f>
        <v>#VALUE!</v>
      </c>
      <c r="BX12" t="e">
        <f>AND('Ark1'!E486,"AAAAAH/f/Us=")</f>
        <v>#VALUE!</v>
      </c>
      <c r="BY12">
        <f>IF('Ark1'!487:487,"AAAAAH/f/Uw=",0)</f>
        <v>0</v>
      </c>
      <c r="BZ12" t="e">
        <f>AND('Ark1'!A486,"AAAAAH/f/U0=")</f>
        <v>#VALUE!</v>
      </c>
      <c r="CA12" t="e">
        <f>AND('Ark1'!B486,"AAAAAH/f/U4=")</f>
        <v>#VALUE!</v>
      </c>
      <c r="CB12" t="e">
        <f>AND('Ark1'!C486,"AAAAAH/f/U8=")</f>
        <v>#VALUE!</v>
      </c>
      <c r="CC12" t="e">
        <f>AND('Ark1'!D486,"AAAAAH/f/VA=")</f>
        <v>#VALUE!</v>
      </c>
      <c r="CD12" t="e">
        <f>AND('Ark1'!E487,"AAAAAH/f/VE=")</f>
        <v>#VALUE!</v>
      </c>
      <c r="CE12">
        <f>IF('Ark1'!488:488,"AAAAAH/f/VI=",0)</f>
        <v>0</v>
      </c>
      <c r="CF12" t="e">
        <f>AND('Ark1'!A487,"AAAAAH/f/VM=")</f>
        <v>#VALUE!</v>
      </c>
      <c r="CG12" t="e">
        <f>AND('Ark1'!B487,"AAAAAH/f/VQ=")</f>
        <v>#VALUE!</v>
      </c>
      <c r="CH12" t="e">
        <f>AND('Ark1'!C487,"AAAAAH/f/VU=")</f>
        <v>#VALUE!</v>
      </c>
      <c r="CI12" t="e">
        <f>AND('Ark1'!D487,"AAAAAH/f/VY=")</f>
        <v>#VALUE!</v>
      </c>
      <c r="CJ12" t="e">
        <f>AND('Ark1'!E488,"AAAAAH/f/Vc=")</f>
        <v>#VALUE!</v>
      </c>
      <c r="CK12">
        <f>IF('Ark1'!489:489,"AAAAAH/f/Vg=",0)</f>
        <v>0</v>
      </c>
      <c r="CL12" t="e">
        <f>AND('Ark1'!A488,"AAAAAH/f/Vk=")</f>
        <v>#VALUE!</v>
      </c>
      <c r="CM12" t="e">
        <f>AND('Ark1'!B488,"AAAAAH/f/Vo=")</f>
        <v>#VALUE!</v>
      </c>
      <c r="CN12" t="e">
        <f>AND('Ark1'!C488,"AAAAAH/f/Vs=")</f>
        <v>#VALUE!</v>
      </c>
      <c r="CO12" t="e">
        <f>AND('Ark1'!D488,"AAAAAH/f/Vw=")</f>
        <v>#VALUE!</v>
      </c>
      <c r="CP12" t="e">
        <f>AND('Ark1'!E489,"AAAAAH/f/V0=")</f>
        <v>#VALUE!</v>
      </c>
      <c r="CQ12">
        <f>IF('Ark1'!490:490,"AAAAAH/f/V4=",0)</f>
        <v>0</v>
      </c>
      <c r="CR12" t="e">
        <f>AND('Ark1'!A489,"AAAAAH/f/V8=")</f>
        <v>#VALUE!</v>
      </c>
      <c r="CS12" t="e">
        <f>AND('Ark1'!B489,"AAAAAH/f/WA=")</f>
        <v>#VALUE!</v>
      </c>
      <c r="CT12" t="e">
        <f>AND('Ark1'!C489,"AAAAAH/f/WE=")</f>
        <v>#VALUE!</v>
      </c>
      <c r="CU12" t="e">
        <f>AND('Ark1'!D489,"AAAAAH/f/WI=")</f>
        <v>#VALUE!</v>
      </c>
      <c r="CV12" t="e">
        <f>AND('Ark1'!E490,"AAAAAH/f/WM=")</f>
        <v>#VALUE!</v>
      </c>
      <c r="CW12">
        <f>IF('Ark1'!491:491,"AAAAAH/f/WQ=",0)</f>
        <v>0</v>
      </c>
      <c r="CX12" t="e">
        <f>AND('Ark1'!A490,"AAAAAH/f/WU=")</f>
        <v>#VALUE!</v>
      </c>
      <c r="CY12" t="e">
        <f>AND('Ark1'!B490,"AAAAAH/f/WY=")</f>
        <v>#VALUE!</v>
      </c>
      <c r="CZ12" t="e">
        <f>AND('Ark1'!C490,"AAAAAH/f/Wc=")</f>
        <v>#VALUE!</v>
      </c>
      <c r="DA12" t="e">
        <f>AND('Ark1'!D490,"AAAAAH/f/Wg=")</f>
        <v>#VALUE!</v>
      </c>
      <c r="DB12" t="e">
        <f>AND('Ark1'!E491,"AAAAAH/f/Wk=")</f>
        <v>#VALUE!</v>
      </c>
      <c r="DC12">
        <f>IF('Ark1'!492:492,"AAAAAH/f/Wo=",0)</f>
        <v>0</v>
      </c>
      <c r="DD12" t="e">
        <f>AND('Ark1'!A491,"AAAAAH/f/Ws=")</f>
        <v>#VALUE!</v>
      </c>
      <c r="DE12" t="e">
        <f>AND('Ark1'!B491,"AAAAAH/f/Ww=")</f>
        <v>#VALUE!</v>
      </c>
      <c r="DF12" t="e">
        <f>AND('Ark1'!C491,"AAAAAH/f/W0=")</f>
        <v>#VALUE!</v>
      </c>
      <c r="DG12" t="e">
        <f>AND('Ark1'!D491,"AAAAAH/f/W4=")</f>
        <v>#VALUE!</v>
      </c>
      <c r="DH12" t="e">
        <f>AND('Ark1'!E492,"AAAAAH/f/W8=")</f>
        <v>#VALUE!</v>
      </c>
      <c r="DI12">
        <f>IF('Ark1'!493:493,"AAAAAH/f/XA=",0)</f>
        <v>0</v>
      </c>
      <c r="DJ12" t="e">
        <f>AND('Ark1'!A492,"AAAAAH/f/XE=")</f>
        <v>#VALUE!</v>
      </c>
      <c r="DK12">
        <f>IF('Ark1'!494:494,"AAAAAH/f/XI=",0)</f>
        <v>0</v>
      </c>
      <c r="DL12" t="e">
        <f>AND('Ark1'!A493,"AAAAAH/f/XM=")</f>
        <v>#VALUE!</v>
      </c>
      <c r="DM12">
        <f>IF('Ark1'!495:495,"AAAAAH/f/XQ=",0)</f>
        <v>0</v>
      </c>
      <c r="DN12" t="e">
        <f>AND('Ark1'!A494,"AAAAAH/f/XU=")</f>
        <v>#VALUE!</v>
      </c>
      <c r="DO12">
        <f>IF('Ark1'!496:496,"AAAAAH/f/XY=",0)</f>
        <v>0</v>
      </c>
      <c r="DP12" t="e">
        <f>AND('Ark1'!A495,"AAAAAH/f/Xc=")</f>
        <v>#VALUE!</v>
      </c>
      <c r="DQ12">
        <f>IF('Ark1'!497:497,"AAAAAH/f/Xg=",0)</f>
        <v>0</v>
      </c>
      <c r="DR12" t="e">
        <f>AND('Ark1'!A496,"AAAAAH/f/Xk=")</f>
        <v>#VALUE!</v>
      </c>
      <c r="DS12">
        <f>IF('Ark1'!A:A,"AAAAAH/f/Xo=",0)</f>
        <v>0</v>
      </c>
      <c r="DT12">
        <f>IF('Ark1'!B:B,"AAAAAH/f/Xs=",0)</f>
        <v>0</v>
      </c>
      <c r="DU12">
        <f>IF('Ark1'!C:C,"AAAAAH/f/Xw=",0)</f>
        <v>0</v>
      </c>
      <c r="DV12">
        <f>IF('Ark1'!D:D,"AAAAAH/f/X0=",0)</f>
        <v>0</v>
      </c>
      <c r="DW12">
        <f>IF('Ark1'!E:E,"AAAAAH/f/X4=",0)</f>
        <v>0</v>
      </c>
      <c r="DX12">
        <f>IF('Ark2'!1:1,"AAAAAH/f/X8=",0)</f>
        <v>0</v>
      </c>
      <c r="DY12" t="e">
        <f>AND('Ark2'!A1,"AAAAAH/f/YA=")</f>
        <v>#VALUE!</v>
      </c>
      <c r="DZ12">
        <f>IF('Ark2'!A:A,"AAAAAH/f/YE=",0)</f>
        <v>0</v>
      </c>
      <c r="EA12">
        <f>IF('Ark3'!1:1,"AAAAAH/f/YI=",0)</f>
        <v>0</v>
      </c>
      <c r="EB12" t="e">
        <f>AND('Ark3'!A1,"AAAAAH/f/YM=")</f>
        <v>#VALUE!</v>
      </c>
      <c r="EC12">
        <f>IF('Ark3'!A:A,"AAAAAH/f/YQ=",0)</f>
        <v>0</v>
      </c>
      <c r="ED12" t="s">
        <v>304</v>
      </c>
      <c r="EE1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 Stokke</dc:creator>
  <cp:lastModifiedBy>Anders C. Aaby</cp:lastModifiedBy>
  <cp:lastPrinted>2012-08-21T07:46:28Z</cp:lastPrinted>
  <dcterms:created xsi:type="dcterms:W3CDTF">2011-04-12T06:40:49Z</dcterms:created>
  <dcterms:modified xsi:type="dcterms:W3CDTF">2017-02-09T14:22:38Z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15-q6xUWx7eup-KJN2MVYtXoQVM1OAQ0eRo8ndvUQPLo</vt:lpwstr>
  </property>
  <property fmtid="{D5CDD505-2E9C-101B-9397-08002B2CF9AE}" pid="4" name="Google.Documents.RevisionId">
    <vt:lpwstr>17083888236359140015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