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elles dokumenter\Produkter\Utstyrslister\"/>
    </mc:Choice>
  </mc:AlternateContent>
  <bookViews>
    <workbookView xWindow="120" yWindow="150" windowWidth="19320" windowHeight="12075"/>
  </bookViews>
  <sheets>
    <sheet name="Ark1" sheetId="1" r:id="rId1"/>
    <sheet name="Ark2" sheetId="2" r:id="rId2"/>
    <sheet name="Ark3" sheetId="3" r:id="rId3"/>
    <sheet name="DV-IDENTITY-0" sheetId="4" state="veryHidden" r:id="rId4"/>
  </sheets>
  <calcPr calcId="152511"/>
</workbook>
</file>

<file path=xl/calcChain.xml><?xml version="1.0" encoding="utf-8"?>
<calcChain xmlns="http://schemas.openxmlformats.org/spreadsheetml/2006/main">
  <c r="A35" i="4" l="1"/>
  <c r="B35" i="4"/>
  <c r="C35" i="4"/>
  <c r="D35" i="4"/>
  <c r="E35" i="4"/>
  <c r="F35" i="4"/>
  <c r="G35" i="4"/>
  <c r="H35" i="4"/>
  <c r="I35" i="4"/>
  <c r="J35" i="4"/>
  <c r="K35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B34" i="4"/>
  <c r="EC34" i="4"/>
  <c r="ED34" i="4"/>
  <c r="EE34" i="4"/>
  <c r="EF34" i="4"/>
  <c r="EG34" i="4"/>
  <c r="EH34" i="4"/>
  <c r="EI34" i="4"/>
  <c r="EJ34" i="4"/>
  <c r="EK34" i="4"/>
  <c r="EL34" i="4"/>
  <c r="EM34" i="4"/>
  <c r="EN34" i="4"/>
  <c r="EO34" i="4"/>
  <c r="EP34" i="4"/>
  <c r="EQ34" i="4"/>
  <c r="ER34" i="4"/>
  <c r="ES34" i="4"/>
  <c r="ET34" i="4"/>
  <c r="EU34" i="4"/>
  <c r="EV34" i="4"/>
  <c r="EW34" i="4"/>
  <c r="EX34" i="4"/>
  <c r="EY34" i="4"/>
  <c r="EZ34" i="4"/>
  <c r="FA34" i="4"/>
  <c r="FB34" i="4"/>
  <c r="FC34" i="4"/>
  <c r="FD34" i="4"/>
  <c r="FE34" i="4"/>
  <c r="FF34" i="4"/>
  <c r="FG34" i="4"/>
  <c r="FH34" i="4"/>
  <c r="FI34" i="4"/>
  <c r="FJ34" i="4"/>
  <c r="FK34" i="4"/>
  <c r="FL34" i="4"/>
  <c r="FM34" i="4"/>
  <c r="FN34" i="4"/>
  <c r="FO34" i="4"/>
  <c r="FP34" i="4"/>
  <c r="FQ34" i="4"/>
  <c r="FR34" i="4"/>
  <c r="FS34" i="4"/>
  <c r="FT34" i="4"/>
  <c r="FU34" i="4"/>
  <c r="FV34" i="4"/>
  <c r="FW34" i="4"/>
  <c r="FX34" i="4"/>
  <c r="FY34" i="4"/>
  <c r="FZ34" i="4"/>
  <c r="GA34" i="4"/>
  <c r="GB34" i="4"/>
  <c r="GC34" i="4"/>
  <c r="GD34" i="4"/>
  <c r="GE34" i="4"/>
  <c r="GF34" i="4"/>
  <c r="GG34" i="4"/>
  <c r="GH34" i="4"/>
  <c r="GI34" i="4"/>
  <c r="GJ34" i="4"/>
  <c r="GK34" i="4"/>
  <c r="GL34" i="4"/>
  <c r="GM34" i="4"/>
  <c r="GN34" i="4"/>
  <c r="GO34" i="4"/>
  <c r="GP34" i="4"/>
  <c r="GQ34" i="4"/>
  <c r="GR34" i="4"/>
  <c r="GS34" i="4"/>
  <c r="GT34" i="4"/>
  <c r="GU34" i="4"/>
  <c r="GV34" i="4"/>
  <c r="GW34" i="4"/>
  <c r="GX34" i="4"/>
  <c r="GY34" i="4"/>
  <c r="GZ34" i="4"/>
  <c r="HA34" i="4"/>
  <c r="HB34" i="4"/>
  <c r="HC34" i="4"/>
  <c r="HD34" i="4"/>
  <c r="HE34" i="4"/>
  <c r="HF34" i="4"/>
  <c r="HG34" i="4"/>
  <c r="HH34" i="4"/>
  <c r="HI34" i="4"/>
  <c r="HJ34" i="4"/>
  <c r="HK34" i="4"/>
  <c r="HL34" i="4"/>
  <c r="HM34" i="4"/>
  <c r="HN34" i="4"/>
  <c r="HO34" i="4"/>
  <c r="HP34" i="4"/>
  <c r="HQ34" i="4"/>
  <c r="HR34" i="4"/>
  <c r="HS34" i="4"/>
  <c r="HT34" i="4"/>
  <c r="HU34" i="4"/>
  <c r="HV34" i="4"/>
  <c r="HW34" i="4"/>
  <c r="HX34" i="4"/>
  <c r="HY34" i="4"/>
  <c r="HZ34" i="4"/>
  <c r="IA34" i="4"/>
  <c r="IB34" i="4"/>
  <c r="IC34" i="4"/>
  <c r="ID34" i="4"/>
  <c r="IE34" i="4"/>
  <c r="IF34" i="4"/>
  <c r="IG34" i="4"/>
  <c r="IH34" i="4"/>
  <c r="II34" i="4"/>
  <c r="IJ34" i="4"/>
  <c r="IK34" i="4"/>
  <c r="IL34" i="4"/>
  <c r="IM34" i="4"/>
  <c r="IN34" i="4"/>
  <c r="IO34" i="4"/>
  <c r="IP34" i="4"/>
  <c r="IQ34" i="4"/>
  <c r="IR34" i="4"/>
  <c r="IS34" i="4"/>
  <c r="IT34" i="4"/>
  <c r="IU34" i="4"/>
  <c r="IV34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GF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HD33" i="4"/>
  <c r="HE33" i="4"/>
  <c r="HF33" i="4"/>
  <c r="HG33" i="4"/>
  <c r="HH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HX33" i="4"/>
  <c r="HY33" i="4"/>
  <c r="HZ33" i="4"/>
  <c r="IA33" i="4"/>
  <c r="IB33" i="4"/>
  <c r="IC33" i="4"/>
  <c r="ID33" i="4"/>
  <c r="IE33" i="4"/>
  <c r="IF33" i="4"/>
  <c r="IG33" i="4"/>
  <c r="IH33" i="4"/>
  <c r="II33" i="4"/>
  <c r="IJ33" i="4"/>
  <c r="IK33" i="4"/>
  <c r="IL33" i="4"/>
  <c r="IM33" i="4"/>
  <c r="IN33" i="4"/>
  <c r="IO33" i="4"/>
  <c r="IP33" i="4"/>
  <c r="IQ33" i="4"/>
  <c r="IR33" i="4"/>
  <c r="IS33" i="4"/>
  <c r="IT33" i="4"/>
  <c r="IU33" i="4"/>
  <c r="IV33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EY32" i="4"/>
  <c r="EZ32" i="4"/>
  <c r="FA32" i="4"/>
  <c r="FB32" i="4"/>
  <c r="FC32" i="4"/>
  <c r="FD32" i="4"/>
  <c r="FE32" i="4"/>
  <c r="FF32" i="4"/>
  <c r="FG32" i="4"/>
  <c r="FH32" i="4"/>
  <c r="FI32" i="4"/>
  <c r="FJ32" i="4"/>
  <c r="FK32" i="4"/>
  <c r="FL32" i="4"/>
  <c r="FM32" i="4"/>
  <c r="FN32" i="4"/>
  <c r="FO32" i="4"/>
  <c r="FP32" i="4"/>
  <c r="FQ32" i="4"/>
  <c r="FR32" i="4"/>
  <c r="FS32" i="4"/>
  <c r="FT32" i="4"/>
  <c r="FU32" i="4"/>
  <c r="FV32" i="4"/>
  <c r="FW32" i="4"/>
  <c r="FX32" i="4"/>
  <c r="FY32" i="4"/>
  <c r="FZ32" i="4"/>
  <c r="GA32" i="4"/>
  <c r="GB32" i="4"/>
  <c r="GC32" i="4"/>
  <c r="GD32" i="4"/>
  <c r="GE32" i="4"/>
  <c r="GF32" i="4"/>
  <c r="GG32" i="4"/>
  <c r="GH32" i="4"/>
  <c r="GI32" i="4"/>
  <c r="GJ32" i="4"/>
  <c r="GK32" i="4"/>
  <c r="GL32" i="4"/>
  <c r="GM32" i="4"/>
  <c r="GN32" i="4"/>
  <c r="GO32" i="4"/>
  <c r="GP32" i="4"/>
  <c r="GQ32" i="4"/>
  <c r="GR32" i="4"/>
  <c r="GS32" i="4"/>
  <c r="GT32" i="4"/>
  <c r="GU32" i="4"/>
  <c r="GV32" i="4"/>
  <c r="GW32" i="4"/>
  <c r="GX32" i="4"/>
  <c r="GY32" i="4"/>
  <c r="GZ32" i="4"/>
  <c r="HA32" i="4"/>
  <c r="HB32" i="4"/>
  <c r="HC32" i="4"/>
  <c r="HD32" i="4"/>
  <c r="HE32" i="4"/>
  <c r="HF32" i="4"/>
  <c r="HG32" i="4"/>
  <c r="HH32" i="4"/>
  <c r="HI32" i="4"/>
  <c r="HJ32" i="4"/>
  <c r="HK32" i="4"/>
  <c r="HL32" i="4"/>
  <c r="HM32" i="4"/>
  <c r="HN32" i="4"/>
  <c r="HO32" i="4"/>
  <c r="HP32" i="4"/>
  <c r="HQ32" i="4"/>
  <c r="HR32" i="4"/>
  <c r="HS32" i="4"/>
  <c r="HT32" i="4"/>
  <c r="HU32" i="4"/>
  <c r="HV32" i="4"/>
  <c r="HW32" i="4"/>
  <c r="HX32" i="4"/>
  <c r="HY32" i="4"/>
  <c r="HZ32" i="4"/>
  <c r="IA32" i="4"/>
  <c r="IB32" i="4"/>
  <c r="IC32" i="4"/>
  <c r="ID32" i="4"/>
  <c r="IE32" i="4"/>
  <c r="IF32" i="4"/>
  <c r="IG32" i="4"/>
  <c r="IH32" i="4"/>
  <c r="II32" i="4"/>
  <c r="IJ32" i="4"/>
  <c r="IK32" i="4"/>
  <c r="IL32" i="4"/>
  <c r="IM32" i="4"/>
  <c r="IN32" i="4"/>
  <c r="IO32" i="4"/>
  <c r="IP32" i="4"/>
  <c r="IQ32" i="4"/>
  <c r="IR32" i="4"/>
  <c r="IS32" i="4"/>
  <c r="IT32" i="4"/>
  <c r="IU32" i="4"/>
  <c r="IV32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FE31" i="4"/>
  <c r="FF31" i="4"/>
  <c r="FG31" i="4"/>
  <c r="FH31" i="4"/>
  <c r="FI31" i="4"/>
  <c r="FJ31" i="4"/>
  <c r="FK31" i="4"/>
  <c r="FL31" i="4"/>
  <c r="FM31" i="4"/>
  <c r="FN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GB31" i="4"/>
  <c r="GC31" i="4"/>
  <c r="GD31" i="4"/>
  <c r="GE31" i="4"/>
  <c r="GF31" i="4"/>
  <c r="GG31" i="4"/>
  <c r="GH31" i="4"/>
  <c r="GI31" i="4"/>
  <c r="GJ31" i="4"/>
  <c r="GK31" i="4"/>
  <c r="GL31" i="4"/>
  <c r="GM31" i="4"/>
  <c r="GN31" i="4"/>
  <c r="GO31" i="4"/>
  <c r="GP31" i="4"/>
  <c r="GQ31" i="4"/>
  <c r="GR31" i="4"/>
  <c r="GS31" i="4"/>
  <c r="GT31" i="4"/>
  <c r="GU31" i="4"/>
  <c r="GV31" i="4"/>
  <c r="GW31" i="4"/>
  <c r="GX31" i="4"/>
  <c r="GY31" i="4"/>
  <c r="GZ31" i="4"/>
  <c r="HA31" i="4"/>
  <c r="HB31" i="4"/>
  <c r="HC31" i="4"/>
  <c r="HD31" i="4"/>
  <c r="HE31" i="4"/>
  <c r="HF31" i="4"/>
  <c r="HG31" i="4"/>
  <c r="HH31" i="4"/>
  <c r="HI31" i="4"/>
  <c r="HJ31" i="4"/>
  <c r="HK31" i="4"/>
  <c r="HL31" i="4"/>
  <c r="HM31" i="4"/>
  <c r="HN31" i="4"/>
  <c r="HO31" i="4"/>
  <c r="HP31" i="4"/>
  <c r="HQ31" i="4"/>
  <c r="HR31" i="4"/>
  <c r="HS31" i="4"/>
  <c r="HT31" i="4"/>
  <c r="HU31" i="4"/>
  <c r="HV31" i="4"/>
  <c r="HW31" i="4"/>
  <c r="HX31" i="4"/>
  <c r="HY31" i="4"/>
  <c r="HZ31" i="4"/>
  <c r="IA31" i="4"/>
  <c r="IB31" i="4"/>
  <c r="IC31" i="4"/>
  <c r="ID31" i="4"/>
  <c r="IE31" i="4"/>
  <c r="IF31" i="4"/>
  <c r="IG31" i="4"/>
  <c r="IH31" i="4"/>
  <c r="II31" i="4"/>
  <c r="IJ31" i="4"/>
  <c r="IK31" i="4"/>
  <c r="IL31" i="4"/>
  <c r="IM31" i="4"/>
  <c r="IN31" i="4"/>
  <c r="IO31" i="4"/>
  <c r="IP31" i="4"/>
  <c r="IQ31" i="4"/>
  <c r="IR31" i="4"/>
  <c r="IS31" i="4"/>
  <c r="IT31" i="4"/>
  <c r="IU31" i="4"/>
  <c r="IV31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FE30" i="4"/>
  <c r="FF30" i="4"/>
  <c r="FG30" i="4"/>
  <c r="FH30" i="4"/>
  <c r="FI30" i="4"/>
  <c r="FJ30" i="4"/>
  <c r="FK30" i="4"/>
  <c r="FL30" i="4"/>
  <c r="FM30" i="4"/>
  <c r="FN30" i="4"/>
  <c r="FO30" i="4"/>
  <c r="FP30" i="4"/>
  <c r="FQ30" i="4"/>
  <c r="FR30" i="4"/>
  <c r="FS30" i="4"/>
  <c r="FT30" i="4"/>
  <c r="FU30" i="4"/>
  <c r="FV30" i="4"/>
  <c r="FW30" i="4"/>
  <c r="FX30" i="4"/>
  <c r="FY30" i="4"/>
  <c r="FZ30" i="4"/>
  <c r="GA30" i="4"/>
  <c r="GB30" i="4"/>
  <c r="GC30" i="4"/>
  <c r="GD30" i="4"/>
  <c r="GE30" i="4"/>
  <c r="GF30" i="4"/>
  <c r="GG30" i="4"/>
  <c r="GH30" i="4"/>
  <c r="GI30" i="4"/>
  <c r="GJ30" i="4"/>
  <c r="GK30" i="4"/>
  <c r="GL30" i="4"/>
  <c r="GM30" i="4"/>
  <c r="GN30" i="4"/>
  <c r="GO30" i="4"/>
  <c r="GP30" i="4"/>
  <c r="GQ30" i="4"/>
  <c r="GR30" i="4"/>
  <c r="GS30" i="4"/>
  <c r="GT30" i="4"/>
  <c r="GU30" i="4"/>
  <c r="GV30" i="4"/>
  <c r="GW30" i="4"/>
  <c r="GX30" i="4"/>
  <c r="GY30" i="4"/>
  <c r="GZ30" i="4"/>
  <c r="HA30" i="4"/>
  <c r="HB30" i="4"/>
  <c r="HC30" i="4"/>
  <c r="HD30" i="4"/>
  <c r="HE30" i="4"/>
  <c r="HF30" i="4"/>
  <c r="HG30" i="4"/>
  <c r="HH30" i="4"/>
  <c r="HI30" i="4"/>
  <c r="HJ30" i="4"/>
  <c r="HK30" i="4"/>
  <c r="HL30" i="4"/>
  <c r="HM30" i="4"/>
  <c r="HN30" i="4"/>
  <c r="HO30" i="4"/>
  <c r="HP30" i="4"/>
  <c r="HQ30" i="4"/>
  <c r="HR30" i="4"/>
  <c r="HS30" i="4"/>
  <c r="HT30" i="4"/>
  <c r="HU30" i="4"/>
  <c r="HV30" i="4"/>
  <c r="HW30" i="4"/>
  <c r="HX30" i="4"/>
  <c r="HY30" i="4"/>
  <c r="HZ30" i="4"/>
  <c r="IA30" i="4"/>
  <c r="IB30" i="4"/>
  <c r="IC30" i="4"/>
  <c r="ID30" i="4"/>
  <c r="IE30" i="4"/>
  <c r="IF30" i="4"/>
  <c r="IG30" i="4"/>
  <c r="IH30" i="4"/>
  <c r="II30" i="4"/>
  <c r="IJ30" i="4"/>
  <c r="IK30" i="4"/>
  <c r="IL30" i="4"/>
  <c r="IM30" i="4"/>
  <c r="IN30" i="4"/>
  <c r="IO30" i="4"/>
  <c r="IP30" i="4"/>
  <c r="IQ30" i="4"/>
  <c r="IR30" i="4"/>
  <c r="IS30" i="4"/>
  <c r="IT30" i="4"/>
  <c r="IU30" i="4"/>
  <c r="IV30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EP29" i="4"/>
  <c r="EQ29" i="4"/>
  <c r="ER29" i="4"/>
  <c r="ES29" i="4"/>
  <c r="ET29" i="4"/>
  <c r="EU29" i="4"/>
  <c r="EV29" i="4"/>
  <c r="EW29" i="4"/>
  <c r="EX29" i="4"/>
  <c r="EY29" i="4"/>
  <c r="EZ29" i="4"/>
  <c r="FA29" i="4"/>
  <c r="FB29" i="4"/>
  <c r="FC29" i="4"/>
  <c r="FD29" i="4"/>
  <c r="FE29" i="4"/>
  <c r="FF29" i="4"/>
  <c r="FG29" i="4"/>
  <c r="FH29" i="4"/>
  <c r="FI29" i="4"/>
  <c r="FJ29" i="4"/>
  <c r="FK29" i="4"/>
  <c r="FL29" i="4"/>
  <c r="FM29" i="4"/>
  <c r="FN29" i="4"/>
  <c r="FO29" i="4"/>
  <c r="FP29" i="4"/>
  <c r="FQ29" i="4"/>
  <c r="FR29" i="4"/>
  <c r="FS29" i="4"/>
  <c r="FT29" i="4"/>
  <c r="FU29" i="4"/>
  <c r="FV29" i="4"/>
  <c r="FW29" i="4"/>
  <c r="FX29" i="4"/>
  <c r="FY29" i="4"/>
  <c r="FZ29" i="4"/>
  <c r="GA29" i="4"/>
  <c r="GB29" i="4"/>
  <c r="GC29" i="4"/>
  <c r="GD29" i="4"/>
  <c r="GE29" i="4"/>
  <c r="GF29" i="4"/>
  <c r="GG29" i="4"/>
  <c r="GH29" i="4"/>
  <c r="GI29" i="4"/>
  <c r="GJ29" i="4"/>
  <c r="GK29" i="4"/>
  <c r="GL29" i="4"/>
  <c r="GM29" i="4"/>
  <c r="GN29" i="4"/>
  <c r="GO29" i="4"/>
  <c r="GP29" i="4"/>
  <c r="GQ29" i="4"/>
  <c r="GR29" i="4"/>
  <c r="GS29" i="4"/>
  <c r="GT29" i="4"/>
  <c r="GU29" i="4"/>
  <c r="GV29" i="4"/>
  <c r="GW29" i="4"/>
  <c r="GX29" i="4"/>
  <c r="GY29" i="4"/>
  <c r="GZ29" i="4"/>
  <c r="HA29" i="4"/>
  <c r="HB29" i="4"/>
  <c r="HC29" i="4"/>
  <c r="HD29" i="4"/>
  <c r="HE29" i="4"/>
  <c r="HF29" i="4"/>
  <c r="HG29" i="4"/>
  <c r="HH29" i="4"/>
  <c r="HI29" i="4"/>
  <c r="HJ29" i="4"/>
  <c r="HK29" i="4"/>
  <c r="HL29" i="4"/>
  <c r="HM29" i="4"/>
  <c r="HN29" i="4"/>
  <c r="HO29" i="4"/>
  <c r="HP29" i="4"/>
  <c r="HQ29" i="4"/>
  <c r="HR29" i="4"/>
  <c r="HS29" i="4"/>
  <c r="HT29" i="4"/>
  <c r="HU29" i="4"/>
  <c r="HV29" i="4"/>
  <c r="HW29" i="4"/>
  <c r="HX29" i="4"/>
  <c r="HY29" i="4"/>
  <c r="HZ29" i="4"/>
  <c r="IA29" i="4"/>
  <c r="IB29" i="4"/>
  <c r="IC29" i="4"/>
  <c r="ID29" i="4"/>
  <c r="IE29" i="4"/>
  <c r="IF29" i="4"/>
  <c r="IG29" i="4"/>
  <c r="IH29" i="4"/>
  <c r="II29" i="4"/>
  <c r="IJ29" i="4"/>
  <c r="IK29" i="4"/>
  <c r="IL29" i="4"/>
  <c r="IM29" i="4"/>
  <c r="IN29" i="4"/>
  <c r="IO29" i="4"/>
  <c r="IP29" i="4"/>
  <c r="IQ29" i="4"/>
  <c r="IR29" i="4"/>
  <c r="IS29" i="4"/>
  <c r="IT29" i="4"/>
  <c r="IU29" i="4"/>
  <c r="IV29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DW28" i="4"/>
  <c r="DX28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EL28" i="4"/>
  <c r="EM28" i="4"/>
  <c r="EN28" i="4"/>
  <c r="EO28" i="4"/>
  <c r="EP28" i="4"/>
  <c r="EQ28" i="4"/>
  <c r="ER28" i="4"/>
  <c r="ES28" i="4"/>
  <c r="ET28" i="4"/>
  <c r="EU28" i="4"/>
  <c r="EV28" i="4"/>
  <c r="EW28" i="4"/>
  <c r="EX28" i="4"/>
  <c r="EY28" i="4"/>
  <c r="EZ28" i="4"/>
  <c r="FA28" i="4"/>
  <c r="FB28" i="4"/>
  <c r="FC28" i="4"/>
  <c r="FD28" i="4"/>
  <c r="FE28" i="4"/>
  <c r="FF28" i="4"/>
  <c r="FG28" i="4"/>
  <c r="FH28" i="4"/>
  <c r="FI28" i="4"/>
  <c r="FJ28" i="4"/>
  <c r="FK28" i="4"/>
  <c r="FL28" i="4"/>
  <c r="FM28" i="4"/>
  <c r="FN28" i="4"/>
  <c r="FO28" i="4"/>
  <c r="FP28" i="4"/>
  <c r="FQ28" i="4"/>
  <c r="FR28" i="4"/>
  <c r="FS28" i="4"/>
  <c r="FT28" i="4"/>
  <c r="FU28" i="4"/>
  <c r="FV28" i="4"/>
  <c r="FW28" i="4"/>
  <c r="FX28" i="4"/>
  <c r="FY28" i="4"/>
  <c r="FZ28" i="4"/>
  <c r="GA28" i="4"/>
  <c r="GB28" i="4"/>
  <c r="GC28" i="4"/>
  <c r="GD28" i="4"/>
  <c r="GE28" i="4"/>
  <c r="GF28" i="4"/>
  <c r="GG28" i="4"/>
  <c r="GH28" i="4"/>
  <c r="GI28" i="4"/>
  <c r="GJ28" i="4"/>
  <c r="GK28" i="4"/>
  <c r="GL28" i="4"/>
  <c r="GM28" i="4"/>
  <c r="GN28" i="4"/>
  <c r="GO28" i="4"/>
  <c r="GP28" i="4"/>
  <c r="GQ28" i="4"/>
  <c r="GR28" i="4"/>
  <c r="GS28" i="4"/>
  <c r="GT28" i="4"/>
  <c r="GU28" i="4"/>
  <c r="GV28" i="4"/>
  <c r="GW28" i="4"/>
  <c r="GX28" i="4"/>
  <c r="GY28" i="4"/>
  <c r="GZ28" i="4"/>
  <c r="HA28" i="4"/>
  <c r="HB28" i="4"/>
  <c r="HC28" i="4"/>
  <c r="HD28" i="4"/>
  <c r="HE28" i="4"/>
  <c r="HF28" i="4"/>
  <c r="HG28" i="4"/>
  <c r="HH28" i="4"/>
  <c r="HI28" i="4"/>
  <c r="HJ28" i="4"/>
  <c r="HK28" i="4"/>
  <c r="HL28" i="4"/>
  <c r="HM28" i="4"/>
  <c r="HN28" i="4"/>
  <c r="HO28" i="4"/>
  <c r="HP28" i="4"/>
  <c r="HQ28" i="4"/>
  <c r="HR28" i="4"/>
  <c r="HS28" i="4"/>
  <c r="HT28" i="4"/>
  <c r="HU28" i="4"/>
  <c r="HV28" i="4"/>
  <c r="HW28" i="4"/>
  <c r="HX28" i="4"/>
  <c r="HY28" i="4"/>
  <c r="HZ28" i="4"/>
  <c r="IA28" i="4"/>
  <c r="IB28" i="4"/>
  <c r="IC28" i="4"/>
  <c r="ID28" i="4"/>
  <c r="IE28" i="4"/>
  <c r="IF28" i="4"/>
  <c r="IG28" i="4"/>
  <c r="IH28" i="4"/>
  <c r="II28" i="4"/>
  <c r="IJ28" i="4"/>
  <c r="IK28" i="4"/>
  <c r="IL28" i="4"/>
  <c r="IM28" i="4"/>
  <c r="IN28" i="4"/>
  <c r="IO28" i="4"/>
  <c r="IP28" i="4"/>
  <c r="IQ28" i="4"/>
  <c r="IR28" i="4"/>
  <c r="IS28" i="4"/>
  <c r="IT28" i="4"/>
  <c r="IU28" i="4"/>
  <c r="IV28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EV27" i="4"/>
  <c r="EW27" i="4"/>
  <c r="EX27" i="4"/>
  <c r="EY27" i="4"/>
  <c r="EZ27" i="4"/>
  <c r="FA27" i="4"/>
  <c r="FB27" i="4"/>
  <c r="FC27" i="4"/>
  <c r="FD27" i="4"/>
  <c r="FE27" i="4"/>
  <c r="FF27" i="4"/>
  <c r="FG27" i="4"/>
  <c r="FH27" i="4"/>
  <c r="FI27" i="4"/>
  <c r="FJ27" i="4"/>
  <c r="FK27" i="4"/>
  <c r="FL27" i="4"/>
  <c r="FM27" i="4"/>
  <c r="FN27" i="4"/>
  <c r="FO27" i="4"/>
  <c r="FP27" i="4"/>
  <c r="FQ27" i="4"/>
  <c r="FR27" i="4"/>
  <c r="FS27" i="4"/>
  <c r="FT27" i="4"/>
  <c r="FU27" i="4"/>
  <c r="FV27" i="4"/>
  <c r="FW27" i="4"/>
  <c r="FX27" i="4"/>
  <c r="FY27" i="4"/>
  <c r="FZ27" i="4"/>
  <c r="GA27" i="4"/>
  <c r="GB27" i="4"/>
  <c r="GC27" i="4"/>
  <c r="GD27" i="4"/>
  <c r="GE27" i="4"/>
  <c r="GF27" i="4"/>
  <c r="GG27" i="4"/>
  <c r="GH27" i="4"/>
  <c r="GI27" i="4"/>
  <c r="GJ27" i="4"/>
  <c r="GK27" i="4"/>
  <c r="GL27" i="4"/>
  <c r="GM27" i="4"/>
  <c r="GN27" i="4"/>
  <c r="GO27" i="4"/>
  <c r="GP27" i="4"/>
  <c r="GQ27" i="4"/>
  <c r="GR27" i="4"/>
  <c r="GS27" i="4"/>
  <c r="GT27" i="4"/>
  <c r="GU27" i="4"/>
  <c r="GV27" i="4"/>
  <c r="GW27" i="4"/>
  <c r="GX27" i="4"/>
  <c r="GY27" i="4"/>
  <c r="GZ27" i="4"/>
  <c r="HA27" i="4"/>
  <c r="HB27" i="4"/>
  <c r="HC27" i="4"/>
  <c r="HD27" i="4"/>
  <c r="HE27" i="4"/>
  <c r="HF27" i="4"/>
  <c r="HG27" i="4"/>
  <c r="HH27" i="4"/>
  <c r="HI27" i="4"/>
  <c r="HJ27" i="4"/>
  <c r="HK27" i="4"/>
  <c r="HL27" i="4"/>
  <c r="HM27" i="4"/>
  <c r="HN27" i="4"/>
  <c r="HO27" i="4"/>
  <c r="HP27" i="4"/>
  <c r="HQ27" i="4"/>
  <c r="HR27" i="4"/>
  <c r="HS27" i="4"/>
  <c r="HT27" i="4"/>
  <c r="HU27" i="4"/>
  <c r="HV27" i="4"/>
  <c r="HW27" i="4"/>
  <c r="HX27" i="4"/>
  <c r="HY27" i="4"/>
  <c r="HZ27" i="4"/>
  <c r="IA27" i="4"/>
  <c r="IB27" i="4"/>
  <c r="IC27" i="4"/>
  <c r="ID27" i="4"/>
  <c r="IE27" i="4"/>
  <c r="IF27" i="4"/>
  <c r="IG27" i="4"/>
  <c r="IH27" i="4"/>
  <c r="II27" i="4"/>
  <c r="IJ27" i="4"/>
  <c r="IK27" i="4"/>
  <c r="IL27" i="4"/>
  <c r="IM27" i="4"/>
  <c r="IN27" i="4"/>
  <c r="IO27" i="4"/>
  <c r="IP27" i="4"/>
  <c r="IQ27" i="4"/>
  <c r="IR27" i="4"/>
  <c r="IS27" i="4"/>
  <c r="IT27" i="4"/>
  <c r="IU27" i="4"/>
  <c r="IV27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EL26" i="4"/>
  <c r="EM26" i="4"/>
  <c r="EN26" i="4"/>
  <c r="EO26" i="4"/>
  <c r="EP26" i="4"/>
  <c r="EQ26" i="4"/>
  <c r="ER26" i="4"/>
  <c r="ES26" i="4"/>
  <c r="ET26" i="4"/>
  <c r="EU26" i="4"/>
  <c r="EV26" i="4"/>
  <c r="EW26" i="4"/>
  <c r="EX26" i="4"/>
  <c r="EY26" i="4"/>
  <c r="EZ26" i="4"/>
  <c r="FA26" i="4"/>
  <c r="FB26" i="4"/>
  <c r="FC26" i="4"/>
  <c r="FD26" i="4"/>
  <c r="FE26" i="4"/>
  <c r="FF26" i="4"/>
  <c r="FG26" i="4"/>
  <c r="FH26" i="4"/>
  <c r="FI26" i="4"/>
  <c r="FJ26" i="4"/>
  <c r="FK26" i="4"/>
  <c r="FL26" i="4"/>
  <c r="FM26" i="4"/>
  <c r="FN26" i="4"/>
  <c r="FO26" i="4"/>
  <c r="FP26" i="4"/>
  <c r="FQ26" i="4"/>
  <c r="FR26" i="4"/>
  <c r="FS26" i="4"/>
  <c r="FT26" i="4"/>
  <c r="FU26" i="4"/>
  <c r="FV26" i="4"/>
  <c r="FW26" i="4"/>
  <c r="FX26" i="4"/>
  <c r="FY26" i="4"/>
  <c r="FZ26" i="4"/>
  <c r="GA26" i="4"/>
  <c r="GB26" i="4"/>
  <c r="GC26" i="4"/>
  <c r="GD26" i="4"/>
  <c r="GE26" i="4"/>
  <c r="GF26" i="4"/>
  <c r="GG26" i="4"/>
  <c r="GH26" i="4"/>
  <c r="GI26" i="4"/>
  <c r="GJ26" i="4"/>
  <c r="GK26" i="4"/>
  <c r="GL26" i="4"/>
  <c r="GM26" i="4"/>
  <c r="GN26" i="4"/>
  <c r="GO26" i="4"/>
  <c r="GP26" i="4"/>
  <c r="GQ26" i="4"/>
  <c r="GR26" i="4"/>
  <c r="GS26" i="4"/>
  <c r="GT26" i="4"/>
  <c r="GU26" i="4"/>
  <c r="GV26" i="4"/>
  <c r="GW26" i="4"/>
  <c r="GX26" i="4"/>
  <c r="GY26" i="4"/>
  <c r="GZ26" i="4"/>
  <c r="HA26" i="4"/>
  <c r="HB26" i="4"/>
  <c r="HC26" i="4"/>
  <c r="HD26" i="4"/>
  <c r="HE26" i="4"/>
  <c r="HF26" i="4"/>
  <c r="HG26" i="4"/>
  <c r="HH26" i="4"/>
  <c r="HI26" i="4"/>
  <c r="HJ26" i="4"/>
  <c r="HK26" i="4"/>
  <c r="HL26" i="4"/>
  <c r="HM26" i="4"/>
  <c r="HN26" i="4"/>
  <c r="HO26" i="4"/>
  <c r="HP26" i="4"/>
  <c r="HQ26" i="4"/>
  <c r="HR26" i="4"/>
  <c r="HS26" i="4"/>
  <c r="HT26" i="4"/>
  <c r="HU26" i="4"/>
  <c r="HV26" i="4"/>
  <c r="HW26" i="4"/>
  <c r="HX26" i="4"/>
  <c r="HY26" i="4"/>
  <c r="HZ26" i="4"/>
  <c r="IA26" i="4"/>
  <c r="IB26" i="4"/>
  <c r="IC26" i="4"/>
  <c r="ID26" i="4"/>
  <c r="IE26" i="4"/>
  <c r="IF26" i="4"/>
  <c r="IG26" i="4"/>
  <c r="IH26" i="4"/>
  <c r="II26" i="4"/>
  <c r="IJ26" i="4"/>
  <c r="IK26" i="4"/>
  <c r="IL26" i="4"/>
  <c r="IM26" i="4"/>
  <c r="IN26" i="4"/>
  <c r="IO26" i="4"/>
  <c r="IP26" i="4"/>
  <c r="IQ26" i="4"/>
  <c r="IR26" i="4"/>
  <c r="IS26" i="4"/>
  <c r="IT26" i="4"/>
  <c r="IU26" i="4"/>
  <c r="IV26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GM25" i="4"/>
  <c r="GN25" i="4"/>
  <c r="GO25" i="4"/>
  <c r="GP25" i="4"/>
  <c r="GQ25" i="4"/>
  <c r="GR25" i="4"/>
  <c r="GS25" i="4"/>
  <c r="GT25" i="4"/>
  <c r="GU25" i="4"/>
  <c r="GV25" i="4"/>
  <c r="GW25" i="4"/>
  <c r="GX25" i="4"/>
  <c r="GY25" i="4"/>
  <c r="GZ25" i="4"/>
  <c r="HA25" i="4"/>
  <c r="HB25" i="4"/>
  <c r="HC25" i="4"/>
  <c r="HD25" i="4"/>
  <c r="HE25" i="4"/>
  <c r="HF25" i="4"/>
  <c r="HG25" i="4"/>
  <c r="HH25" i="4"/>
  <c r="HI25" i="4"/>
  <c r="HJ25" i="4"/>
  <c r="HK25" i="4"/>
  <c r="HL25" i="4"/>
  <c r="HM25" i="4"/>
  <c r="HN25" i="4"/>
  <c r="HO25" i="4"/>
  <c r="HP25" i="4"/>
  <c r="HQ25" i="4"/>
  <c r="HR25" i="4"/>
  <c r="HS25" i="4"/>
  <c r="HT25" i="4"/>
  <c r="HU25" i="4"/>
  <c r="HV25" i="4"/>
  <c r="HW25" i="4"/>
  <c r="HX25" i="4"/>
  <c r="HY25" i="4"/>
  <c r="HZ25" i="4"/>
  <c r="IA25" i="4"/>
  <c r="IB25" i="4"/>
  <c r="IC25" i="4"/>
  <c r="ID25" i="4"/>
  <c r="IE25" i="4"/>
  <c r="IF25" i="4"/>
  <c r="IG25" i="4"/>
  <c r="IH25" i="4"/>
  <c r="II25" i="4"/>
  <c r="IJ25" i="4"/>
  <c r="IK25" i="4"/>
  <c r="IL25" i="4"/>
  <c r="IM25" i="4"/>
  <c r="IN25" i="4"/>
  <c r="IO25" i="4"/>
  <c r="IP25" i="4"/>
  <c r="IQ25" i="4"/>
  <c r="IR25" i="4"/>
  <c r="IS25" i="4"/>
  <c r="IT25" i="4"/>
  <c r="IU25" i="4"/>
  <c r="IV25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GH24" i="4"/>
  <c r="GI24" i="4"/>
  <c r="GJ24" i="4"/>
  <c r="GK24" i="4"/>
  <c r="GL24" i="4"/>
  <c r="GM24" i="4"/>
  <c r="GN24" i="4"/>
  <c r="GO24" i="4"/>
  <c r="GP24" i="4"/>
  <c r="GQ24" i="4"/>
  <c r="GR24" i="4"/>
  <c r="GS24" i="4"/>
  <c r="GT24" i="4"/>
  <c r="GU24" i="4"/>
  <c r="GV24" i="4"/>
  <c r="GW24" i="4"/>
  <c r="GX24" i="4"/>
  <c r="GY24" i="4"/>
  <c r="GZ24" i="4"/>
  <c r="HA24" i="4"/>
  <c r="HB24" i="4"/>
  <c r="HC24" i="4"/>
  <c r="HD24" i="4"/>
  <c r="HE24" i="4"/>
  <c r="HF24" i="4"/>
  <c r="HG24" i="4"/>
  <c r="HH24" i="4"/>
  <c r="HI24" i="4"/>
  <c r="HJ24" i="4"/>
  <c r="HK24" i="4"/>
  <c r="HL24" i="4"/>
  <c r="HM24" i="4"/>
  <c r="HN24" i="4"/>
  <c r="HO24" i="4"/>
  <c r="HP24" i="4"/>
  <c r="HQ24" i="4"/>
  <c r="HR24" i="4"/>
  <c r="HS24" i="4"/>
  <c r="HT24" i="4"/>
  <c r="HU24" i="4"/>
  <c r="HV24" i="4"/>
  <c r="HW24" i="4"/>
  <c r="HX24" i="4"/>
  <c r="HY24" i="4"/>
  <c r="HZ24" i="4"/>
  <c r="IA24" i="4"/>
  <c r="IB24" i="4"/>
  <c r="IC24" i="4"/>
  <c r="ID24" i="4"/>
  <c r="IE24" i="4"/>
  <c r="IF24" i="4"/>
  <c r="IG24" i="4"/>
  <c r="IH24" i="4"/>
  <c r="II24" i="4"/>
  <c r="IJ24" i="4"/>
  <c r="IK24" i="4"/>
  <c r="IL24" i="4"/>
  <c r="IM24" i="4"/>
  <c r="IN24" i="4"/>
  <c r="IO24" i="4"/>
  <c r="IP24" i="4"/>
  <c r="IQ24" i="4"/>
  <c r="IR24" i="4"/>
  <c r="IS24" i="4"/>
  <c r="IT24" i="4"/>
  <c r="IU24" i="4"/>
  <c r="IV24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ER23" i="4"/>
  <c r="ES23" i="4"/>
  <c r="ET23" i="4"/>
  <c r="EU23" i="4"/>
  <c r="EV23" i="4"/>
  <c r="EW23" i="4"/>
  <c r="EX23" i="4"/>
  <c r="EY23" i="4"/>
  <c r="EZ23" i="4"/>
  <c r="FA23" i="4"/>
  <c r="FB23" i="4"/>
  <c r="FC23" i="4"/>
  <c r="FD23" i="4"/>
  <c r="FE23" i="4"/>
  <c r="FF23" i="4"/>
  <c r="FG23" i="4"/>
  <c r="FH23" i="4"/>
  <c r="FI23" i="4"/>
  <c r="FJ23" i="4"/>
  <c r="FK23" i="4"/>
  <c r="FL23" i="4"/>
  <c r="FM23" i="4"/>
  <c r="FN23" i="4"/>
  <c r="FO23" i="4"/>
  <c r="FP23" i="4"/>
  <c r="FQ23" i="4"/>
  <c r="FR23" i="4"/>
  <c r="FS23" i="4"/>
  <c r="FT23" i="4"/>
  <c r="FU23" i="4"/>
  <c r="FV23" i="4"/>
  <c r="FW23" i="4"/>
  <c r="FX23" i="4"/>
  <c r="FY23" i="4"/>
  <c r="FZ23" i="4"/>
  <c r="GA23" i="4"/>
  <c r="GB23" i="4"/>
  <c r="GC23" i="4"/>
  <c r="GD23" i="4"/>
  <c r="GE23" i="4"/>
  <c r="GF23" i="4"/>
  <c r="GG23" i="4"/>
  <c r="GH23" i="4"/>
  <c r="GI23" i="4"/>
  <c r="GJ23" i="4"/>
  <c r="GK23" i="4"/>
  <c r="GL23" i="4"/>
  <c r="GM23" i="4"/>
  <c r="GN23" i="4"/>
  <c r="GO23" i="4"/>
  <c r="GP23" i="4"/>
  <c r="GQ23" i="4"/>
  <c r="GR23" i="4"/>
  <c r="GS23" i="4"/>
  <c r="GT23" i="4"/>
  <c r="GU23" i="4"/>
  <c r="GV23" i="4"/>
  <c r="GW23" i="4"/>
  <c r="GX23" i="4"/>
  <c r="GY23" i="4"/>
  <c r="GZ23" i="4"/>
  <c r="HA23" i="4"/>
  <c r="HB23" i="4"/>
  <c r="HC23" i="4"/>
  <c r="HD23" i="4"/>
  <c r="HE23" i="4"/>
  <c r="HF23" i="4"/>
  <c r="HG23" i="4"/>
  <c r="HH23" i="4"/>
  <c r="HI23" i="4"/>
  <c r="HJ23" i="4"/>
  <c r="HK23" i="4"/>
  <c r="HL23" i="4"/>
  <c r="HM23" i="4"/>
  <c r="HN23" i="4"/>
  <c r="HO23" i="4"/>
  <c r="HP23" i="4"/>
  <c r="HQ23" i="4"/>
  <c r="HR23" i="4"/>
  <c r="HS23" i="4"/>
  <c r="HT23" i="4"/>
  <c r="HU23" i="4"/>
  <c r="HV23" i="4"/>
  <c r="HW23" i="4"/>
  <c r="HX23" i="4"/>
  <c r="HY23" i="4"/>
  <c r="HZ23" i="4"/>
  <c r="IA23" i="4"/>
  <c r="IB23" i="4"/>
  <c r="IC23" i="4"/>
  <c r="ID23" i="4"/>
  <c r="IE23" i="4"/>
  <c r="IF23" i="4"/>
  <c r="IG23" i="4"/>
  <c r="IH23" i="4"/>
  <c r="II23" i="4"/>
  <c r="IJ23" i="4"/>
  <c r="IK23" i="4"/>
  <c r="IL23" i="4"/>
  <c r="IM23" i="4"/>
  <c r="IN23" i="4"/>
  <c r="IO23" i="4"/>
  <c r="IP23" i="4"/>
  <c r="IQ23" i="4"/>
  <c r="IR23" i="4"/>
  <c r="IS23" i="4"/>
  <c r="IT23" i="4"/>
  <c r="IU23" i="4"/>
  <c r="IV23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DG22" i="4"/>
  <c r="DH22" i="4"/>
  <c r="DI22" i="4"/>
  <c r="DJ22" i="4"/>
  <c r="DK22" i="4"/>
  <c r="DL22" i="4"/>
  <c r="DM22" i="4"/>
  <c r="DN22" i="4"/>
  <c r="DO22" i="4"/>
  <c r="DP22" i="4"/>
  <c r="DQ22" i="4"/>
  <c r="DR22" i="4"/>
  <c r="DS22" i="4"/>
  <c r="DT22" i="4"/>
  <c r="DU22" i="4"/>
  <c r="DV22" i="4"/>
  <c r="DW22" i="4"/>
  <c r="DX22" i="4"/>
  <c r="DY22" i="4"/>
  <c r="DZ22" i="4"/>
  <c r="EA22" i="4"/>
  <c r="EB22" i="4"/>
  <c r="EC22" i="4"/>
  <c r="ED22" i="4"/>
  <c r="EE22" i="4"/>
  <c r="EF22" i="4"/>
  <c r="EG22" i="4"/>
  <c r="EH22" i="4"/>
  <c r="EI22" i="4"/>
  <c r="EJ22" i="4"/>
  <c r="EK22" i="4"/>
  <c r="EL22" i="4"/>
  <c r="EM22" i="4"/>
  <c r="EN22" i="4"/>
  <c r="EO22" i="4"/>
  <c r="EP22" i="4"/>
  <c r="EQ22" i="4"/>
  <c r="ER22" i="4"/>
  <c r="ES22" i="4"/>
  <c r="ET22" i="4"/>
  <c r="EU22" i="4"/>
  <c r="EV22" i="4"/>
  <c r="EW22" i="4"/>
  <c r="EX22" i="4"/>
  <c r="EY22" i="4"/>
  <c r="EZ22" i="4"/>
  <c r="FA22" i="4"/>
  <c r="FB22" i="4"/>
  <c r="FC22" i="4"/>
  <c r="FD22" i="4"/>
  <c r="FE22" i="4"/>
  <c r="FF22" i="4"/>
  <c r="FG22" i="4"/>
  <c r="FH22" i="4"/>
  <c r="FI22" i="4"/>
  <c r="FJ22" i="4"/>
  <c r="FK22" i="4"/>
  <c r="FL22" i="4"/>
  <c r="FM22" i="4"/>
  <c r="FN22" i="4"/>
  <c r="FO22" i="4"/>
  <c r="FP22" i="4"/>
  <c r="FQ22" i="4"/>
  <c r="FR22" i="4"/>
  <c r="FS22" i="4"/>
  <c r="FT22" i="4"/>
  <c r="FU22" i="4"/>
  <c r="FV22" i="4"/>
  <c r="FW22" i="4"/>
  <c r="FX22" i="4"/>
  <c r="FY22" i="4"/>
  <c r="FZ22" i="4"/>
  <c r="GA22" i="4"/>
  <c r="GB22" i="4"/>
  <c r="GC22" i="4"/>
  <c r="GD22" i="4"/>
  <c r="GE22" i="4"/>
  <c r="GF22" i="4"/>
  <c r="GG22" i="4"/>
  <c r="GH22" i="4"/>
  <c r="GI22" i="4"/>
  <c r="GJ22" i="4"/>
  <c r="GK22" i="4"/>
  <c r="GL22" i="4"/>
  <c r="GM22" i="4"/>
  <c r="GN22" i="4"/>
  <c r="GO22" i="4"/>
  <c r="GP22" i="4"/>
  <c r="GQ22" i="4"/>
  <c r="GR22" i="4"/>
  <c r="GS22" i="4"/>
  <c r="GT22" i="4"/>
  <c r="GU22" i="4"/>
  <c r="GV22" i="4"/>
  <c r="GW22" i="4"/>
  <c r="GX22" i="4"/>
  <c r="GY22" i="4"/>
  <c r="GZ22" i="4"/>
  <c r="HA22" i="4"/>
  <c r="HB22" i="4"/>
  <c r="HC22" i="4"/>
  <c r="HD22" i="4"/>
  <c r="HE22" i="4"/>
  <c r="HF22" i="4"/>
  <c r="HG22" i="4"/>
  <c r="HH22" i="4"/>
  <c r="HI22" i="4"/>
  <c r="HJ22" i="4"/>
  <c r="HK22" i="4"/>
  <c r="HL22" i="4"/>
  <c r="HM22" i="4"/>
  <c r="HN22" i="4"/>
  <c r="HO22" i="4"/>
  <c r="HP22" i="4"/>
  <c r="HQ22" i="4"/>
  <c r="HR22" i="4"/>
  <c r="HS22" i="4"/>
  <c r="HT22" i="4"/>
  <c r="HU22" i="4"/>
  <c r="HV22" i="4"/>
  <c r="HW22" i="4"/>
  <c r="HX22" i="4"/>
  <c r="HY22" i="4"/>
  <c r="HZ22" i="4"/>
  <c r="IA22" i="4"/>
  <c r="IB22" i="4"/>
  <c r="IC22" i="4"/>
  <c r="ID22" i="4"/>
  <c r="IE22" i="4"/>
  <c r="IF22" i="4"/>
  <c r="IG22" i="4"/>
  <c r="IH22" i="4"/>
  <c r="II22" i="4"/>
  <c r="IJ22" i="4"/>
  <c r="IK22" i="4"/>
  <c r="IL22" i="4"/>
  <c r="IM22" i="4"/>
  <c r="IN22" i="4"/>
  <c r="IO22" i="4"/>
  <c r="IP22" i="4"/>
  <c r="IQ22" i="4"/>
  <c r="IR22" i="4"/>
  <c r="IS22" i="4"/>
  <c r="IT22" i="4"/>
  <c r="IU22" i="4"/>
  <c r="IV22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EL21" i="4"/>
  <c r="EM21" i="4"/>
  <c r="EN21" i="4"/>
  <c r="EO21" i="4"/>
  <c r="EP21" i="4"/>
  <c r="EQ21" i="4"/>
  <c r="ER21" i="4"/>
  <c r="ES21" i="4"/>
  <c r="ET21" i="4"/>
  <c r="EU21" i="4"/>
  <c r="EV21" i="4"/>
  <c r="EW21" i="4"/>
  <c r="EX21" i="4"/>
  <c r="EY21" i="4"/>
  <c r="EZ2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FN21" i="4"/>
  <c r="FO21" i="4"/>
  <c r="FP21" i="4"/>
  <c r="FQ21" i="4"/>
  <c r="FR21" i="4"/>
  <c r="FS21" i="4"/>
  <c r="FT21" i="4"/>
  <c r="FU21" i="4"/>
  <c r="FV21" i="4"/>
  <c r="FW21" i="4"/>
  <c r="FX21" i="4"/>
  <c r="FY21" i="4"/>
  <c r="FZ21" i="4"/>
  <c r="GA21" i="4"/>
  <c r="GB21" i="4"/>
  <c r="GC21" i="4"/>
  <c r="GD21" i="4"/>
  <c r="GE21" i="4"/>
  <c r="GF21" i="4"/>
  <c r="GG21" i="4"/>
  <c r="GH21" i="4"/>
  <c r="GI21" i="4"/>
  <c r="GJ21" i="4"/>
  <c r="GK21" i="4"/>
  <c r="GL21" i="4"/>
  <c r="GM21" i="4"/>
  <c r="GN21" i="4"/>
  <c r="GO21" i="4"/>
  <c r="GP21" i="4"/>
  <c r="GQ21" i="4"/>
  <c r="GR21" i="4"/>
  <c r="GS21" i="4"/>
  <c r="GT21" i="4"/>
  <c r="GU21" i="4"/>
  <c r="GV21" i="4"/>
  <c r="GW21" i="4"/>
  <c r="GX21" i="4"/>
  <c r="GY21" i="4"/>
  <c r="GZ21" i="4"/>
  <c r="HA21" i="4"/>
  <c r="HB21" i="4"/>
  <c r="HC21" i="4"/>
  <c r="HD21" i="4"/>
  <c r="HE21" i="4"/>
  <c r="HF21" i="4"/>
  <c r="HG21" i="4"/>
  <c r="HH21" i="4"/>
  <c r="HI21" i="4"/>
  <c r="HJ21" i="4"/>
  <c r="HK21" i="4"/>
  <c r="HL21" i="4"/>
  <c r="HM21" i="4"/>
  <c r="HN21" i="4"/>
  <c r="HO21" i="4"/>
  <c r="HP21" i="4"/>
  <c r="HQ21" i="4"/>
  <c r="HR21" i="4"/>
  <c r="HS21" i="4"/>
  <c r="HT21" i="4"/>
  <c r="HU21" i="4"/>
  <c r="HV21" i="4"/>
  <c r="HW21" i="4"/>
  <c r="HX21" i="4"/>
  <c r="HY21" i="4"/>
  <c r="HZ21" i="4"/>
  <c r="IA21" i="4"/>
  <c r="IB21" i="4"/>
  <c r="IC21" i="4"/>
  <c r="ID21" i="4"/>
  <c r="IE21" i="4"/>
  <c r="IF21" i="4"/>
  <c r="IG21" i="4"/>
  <c r="IH21" i="4"/>
  <c r="II21" i="4"/>
  <c r="IJ21" i="4"/>
  <c r="IK21" i="4"/>
  <c r="IL21" i="4"/>
  <c r="IM21" i="4"/>
  <c r="IN21" i="4"/>
  <c r="IO21" i="4"/>
  <c r="IP21" i="4"/>
  <c r="IQ21" i="4"/>
  <c r="IR21" i="4"/>
  <c r="IS21" i="4"/>
  <c r="IT21" i="4"/>
  <c r="IU21" i="4"/>
  <c r="IV21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DG20" i="4"/>
  <c r="DH20" i="4"/>
  <c r="DI20" i="4"/>
  <c r="DJ20" i="4"/>
  <c r="DK20" i="4"/>
  <c r="DL20" i="4"/>
  <c r="DM20" i="4"/>
  <c r="DN20" i="4"/>
  <c r="DO20" i="4"/>
  <c r="DP20" i="4"/>
  <c r="DQ20" i="4"/>
  <c r="DR20" i="4"/>
  <c r="DS20" i="4"/>
  <c r="DT20" i="4"/>
  <c r="DU20" i="4"/>
  <c r="DV20" i="4"/>
  <c r="DW20" i="4"/>
  <c r="DX20" i="4"/>
  <c r="DY20" i="4"/>
  <c r="DZ20" i="4"/>
  <c r="EA20" i="4"/>
  <c r="EB20" i="4"/>
  <c r="EC20" i="4"/>
  <c r="ED20" i="4"/>
  <c r="EE20" i="4"/>
  <c r="EF20" i="4"/>
  <c r="EG20" i="4"/>
  <c r="EH20" i="4"/>
  <c r="EI20" i="4"/>
  <c r="EJ20" i="4"/>
  <c r="EK20" i="4"/>
  <c r="EL20" i="4"/>
  <c r="EM20" i="4"/>
  <c r="EN20" i="4"/>
  <c r="EO20" i="4"/>
  <c r="EP20" i="4"/>
  <c r="EQ20" i="4"/>
  <c r="ER20" i="4"/>
  <c r="ES20" i="4"/>
  <c r="ET20" i="4"/>
  <c r="EU20" i="4"/>
  <c r="EV20" i="4"/>
  <c r="EW20" i="4"/>
  <c r="EX20" i="4"/>
  <c r="EY20" i="4"/>
  <c r="EZ20" i="4"/>
  <c r="FA20" i="4"/>
  <c r="FB20" i="4"/>
  <c r="FC20" i="4"/>
  <c r="FD20" i="4"/>
  <c r="FE20" i="4"/>
  <c r="FF20" i="4"/>
  <c r="FG20" i="4"/>
  <c r="FH20" i="4"/>
  <c r="FI20" i="4"/>
  <c r="FJ20" i="4"/>
  <c r="FK20" i="4"/>
  <c r="FL20" i="4"/>
  <c r="FM20" i="4"/>
  <c r="FN20" i="4"/>
  <c r="FO20" i="4"/>
  <c r="FP20" i="4"/>
  <c r="FQ20" i="4"/>
  <c r="FR20" i="4"/>
  <c r="FS20" i="4"/>
  <c r="FT20" i="4"/>
  <c r="FU20" i="4"/>
  <c r="FV20" i="4"/>
  <c r="FW20" i="4"/>
  <c r="FX20" i="4"/>
  <c r="FY20" i="4"/>
  <c r="FZ20" i="4"/>
  <c r="GA20" i="4"/>
  <c r="GB20" i="4"/>
  <c r="GC20" i="4"/>
  <c r="GD20" i="4"/>
  <c r="GE20" i="4"/>
  <c r="GF20" i="4"/>
  <c r="GG20" i="4"/>
  <c r="GH20" i="4"/>
  <c r="GI20" i="4"/>
  <c r="GJ20" i="4"/>
  <c r="GK20" i="4"/>
  <c r="GL20" i="4"/>
  <c r="GM20" i="4"/>
  <c r="GN20" i="4"/>
  <c r="GO20" i="4"/>
  <c r="GP20" i="4"/>
  <c r="GQ20" i="4"/>
  <c r="GR20" i="4"/>
  <c r="GS20" i="4"/>
  <c r="GT20" i="4"/>
  <c r="GU20" i="4"/>
  <c r="GV20" i="4"/>
  <c r="GW20" i="4"/>
  <c r="GX20" i="4"/>
  <c r="GY20" i="4"/>
  <c r="GZ20" i="4"/>
  <c r="HA20" i="4"/>
  <c r="HB20" i="4"/>
  <c r="HC20" i="4"/>
  <c r="HD20" i="4"/>
  <c r="HE20" i="4"/>
  <c r="HF20" i="4"/>
  <c r="HG20" i="4"/>
  <c r="HH20" i="4"/>
  <c r="HI20" i="4"/>
  <c r="HJ20" i="4"/>
  <c r="HK20" i="4"/>
  <c r="HL20" i="4"/>
  <c r="HM20" i="4"/>
  <c r="HN20" i="4"/>
  <c r="HO20" i="4"/>
  <c r="HP20" i="4"/>
  <c r="HQ20" i="4"/>
  <c r="HR20" i="4"/>
  <c r="HS20" i="4"/>
  <c r="HT20" i="4"/>
  <c r="HU20" i="4"/>
  <c r="HV20" i="4"/>
  <c r="HW20" i="4"/>
  <c r="HX20" i="4"/>
  <c r="HY20" i="4"/>
  <c r="HZ20" i="4"/>
  <c r="IA20" i="4"/>
  <c r="IB20" i="4"/>
  <c r="IC20" i="4"/>
  <c r="ID20" i="4"/>
  <c r="IE20" i="4"/>
  <c r="IF20" i="4"/>
  <c r="IG20" i="4"/>
  <c r="IH20" i="4"/>
  <c r="II20" i="4"/>
  <c r="IJ20" i="4"/>
  <c r="IK20" i="4"/>
  <c r="IL20" i="4"/>
  <c r="IM20" i="4"/>
  <c r="IN20" i="4"/>
  <c r="IO20" i="4"/>
  <c r="IP20" i="4"/>
  <c r="IQ20" i="4"/>
  <c r="IR20" i="4"/>
  <c r="IS20" i="4"/>
  <c r="IT20" i="4"/>
  <c r="IU20" i="4"/>
  <c r="IV20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DW19" i="4"/>
  <c r="DX19" i="4"/>
  <c r="DY19" i="4"/>
  <c r="DZ19" i="4"/>
  <c r="EA19" i="4"/>
  <c r="EB19" i="4"/>
  <c r="EC19" i="4"/>
  <c r="ED19" i="4"/>
  <c r="EE19" i="4"/>
  <c r="EF19" i="4"/>
  <c r="EG19" i="4"/>
  <c r="EH19" i="4"/>
  <c r="EI19" i="4"/>
  <c r="EJ19" i="4"/>
  <c r="EK19" i="4"/>
  <c r="EL19" i="4"/>
  <c r="EM19" i="4"/>
  <c r="EN19" i="4"/>
  <c r="EO19" i="4"/>
  <c r="EP19" i="4"/>
  <c r="EQ19" i="4"/>
  <c r="ER19" i="4"/>
  <c r="ES19" i="4"/>
  <c r="ET19" i="4"/>
  <c r="EU19" i="4"/>
  <c r="EV19" i="4"/>
  <c r="EW19" i="4"/>
  <c r="EX19" i="4"/>
  <c r="EY19" i="4"/>
  <c r="EZ19" i="4"/>
  <c r="FA19" i="4"/>
  <c r="FB19" i="4"/>
  <c r="FC19" i="4"/>
  <c r="FD19" i="4"/>
  <c r="FE19" i="4"/>
  <c r="FF19" i="4"/>
  <c r="FG19" i="4"/>
  <c r="FH19" i="4"/>
  <c r="FI19" i="4"/>
  <c r="FJ19" i="4"/>
  <c r="FK19" i="4"/>
  <c r="FL19" i="4"/>
  <c r="FM19" i="4"/>
  <c r="FN19" i="4"/>
  <c r="FO19" i="4"/>
  <c r="FP19" i="4"/>
  <c r="FQ19" i="4"/>
  <c r="FR19" i="4"/>
  <c r="FS19" i="4"/>
  <c r="FT19" i="4"/>
  <c r="FU19" i="4"/>
  <c r="FV19" i="4"/>
  <c r="FW19" i="4"/>
  <c r="FX19" i="4"/>
  <c r="FY19" i="4"/>
  <c r="FZ19" i="4"/>
  <c r="GA19" i="4"/>
  <c r="GB19" i="4"/>
  <c r="GC19" i="4"/>
  <c r="GD19" i="4"/>
  <c r="GE19" i="4"/>
  <c r="GF19" i="4"/>
  <c r="GG19" i="4"/>
  <c r="GH19" i="4"/>
  <c r="GI19" i="4"/>
  <c r="GJ19" i="4"/>
  <c r="GK19" i="4"/>
  <c r="GL19" i="4"/>
  <c r="GM19" i="4"/>
  <c r="GN19" i="4"/>
  <c r="GO19" i="4"/>
  <c r="GP19" i="4"/>
  <c r="GQ19" i="4"/>
  <c r="GR19" i="4"/>
  <c r="GS19" i="4"/>
  <c r="GT19" i="4"/>
  <c r="GU19" i="4"/>
  <c r="GV19" i="4"/>
  <c r="GW19" i="4"/>
  <c r="GX19" i="4"/>
  <c r="GY19" i="4"/>
  <c r="GZ19" i="4"/>
  <c r="HA19" i="4"/>
  <c r="HB19" i="4"/>
  <c r="HC19" i="4"/>
  <c r="HD19" i="4"/>
  <c r="HE19" i="4"/>
  <c r="HF19" i="4"/>
  <c r="HG19" i="4"/>
  <c r="HH19" i="4"/>
  <c r="HI19" i="4"/>
  <c r="HJ19" i="4"/>
  <c r="HK19" i="4"/>
  <c r="HL19" i="4"/>
  <c r="HM19" i="4"/>
  <c r="HN19" i="4"/>
  <c r="HO19" i="4"/>
  <c r="HP19" i="4"/>
  <c r="HQ19" i="4"/>
  <c r="HR19" i="4"/>
  <c r="HS19" i="4"/>
  <c r="HT19" i="4"/>
  <c r="HU19" i="4"/>
  <c r="HV19" i="4"/>
  <c r="HW19" i="4"/>
  <c r="HX19" i="4"/>
  <c r="HY19" i="4"/>
  <c r="HZ19" i="4"/>
  <c r="IA19" i="4"/>
  <c r="IB19" i="4"/>
  <c r="IC19" i="4"/>
  <c r="ID19" i="4"/>
  <c r="IE19" i="4"/>
  <c r="IF19" i="4"/>
  <c r="IG19" i="4"/>
  <c r="IH19" i="4"/>
  <c r="II19" i="4"/>
  <c r="IJ19" i="4"/>
  <c r="IK19" i="4"/>
  <c r="IL19" i="4"/>
  <c r="IM19" i="4"/>
  <c r="IN19" i="4"/>
  <c r="IO19" i="4"/>
  <c r="IP19" i="4"/>
  <c r="IQ19" i="4"/>
  <c r="IR19" i="4"/>
  <c r="IS19" i="4"/>
  <c r="IT19" i="4"/>
  <c r="IU19" i="4"/>
  <c r="IV19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F18" i="4"/>
  <c r="DG18" i="4"/>
  <c r="DH18" i="4"/>
  <c r="DI18" i="4"/>
  <c r="DJ18" i="4"/>
  <c r="DK18" i="4"/>
  <c r="DL18" i="4"/>
  <c r="DM18" i="4"/>
  <c r="DN18" i="4"/>
  <c r="DO18" i="4"/>
  <c r="DP18" i="4"/>
  <c r="DQ18" i="4"/>
  <c r="DR18" i="4"/>
  <c r="DS18" i="4"/>
  <c r="DT18" i="4"/>
  <c r="DU18" i="4"/>
  <c r="DV18" i="4"/>
  <c r="DW18" i="4"/>
  <c r="DX18" i="4"/>
  <c r="DY18" i="4"/>
  <c r="DZ18" i="4"/>
  <c r="EA18" i="4"/>
  <c r="EB18" i="4"/>
  <c r="EC18" i="4"/>
  <c r="ED18" i="4"/>
  <c r="EE18" i="4"/>
  <c r="EF18" i="4"/>
  <c r="EG18" i="4"/>
  <c r="EH18" i="4"/>
  <c r="EI18" i="4"/>
  <c r="EJ18" i="4"/>
  <c r="EK18" i="4"/>
  <c r="EL18" i="4"/>
  <c r="EM18" i="4"/>
  <c r="EN18" i="4"/>
  <c r="EO18" i="4"/>
  <c r="EP18" i="4"/>
  <c r="EQ18" i="4"/>
  <c r="ER18" i="4"/>
  <c r="ES18" i="4"/>
  <c r="ET18" i="4"/>
  <c r="EU18" i="4"/>
  <c r="EV18" i="4"/>
  <c r="EW18" i="4"/>
  <c r="EX18" i="4"/>
  <c r="EY18" i="4"/>
  <c r="EZ18" i="4"/>
  <c r="FA18" i="4"/>
  <c r="FB18" i="4"/>
  <c r="FC18" i="4"/>
  <c r="FD18" i="4"/>
  <c r="FE18" i="4"/>
  <c r="FF18" i="4"/>
  <c r="FG18" i="4"/>
  <c r="FH18" i="4"/>
  <c r="FI18" i="4"/>
  <c r="FJ18" i="4"/>
  <c r="FK18" i="4"/>
  <c r="FL18" i="4"/>
  <c r="FM18" i="4"/>
  <c r="FN18" i="4"/>
  <c r="FO18" i="4"/>
  <c r="FP18" i="4"/>
  <c r="FQ18" i="4"/>
  <c r="FR18" i="4"/>
  <c r="FS18" i="4"/>
  <c r="FT18" i="4"/>
  <c r="FU18" i="4"/>
  <c r="FV18" i="4"/>
  <c r="FW18" i="4"/>
  <c r="FX18" i="4"/>
  <c r="FY18" i="4"/>
  <c r="FZ18" i="4"/>
  <c r="GA18" i="4"/>
  <c r="GB18" i="4"/>
  <c r="GC18" i="4"/>
  <c r="GD18" i="4"/>
  <c r="GE18" i="4"/>
  <c r="GF18" i="4"/>
  <c r="GG18" i="4"/>
  <c r="GH18" i="4"/>
  <c r="GI18" i="4"/>
  <c r="GJ18" i="4"/>
  <c r="GK18" i="4"/>
  <c r="GL18" i="4"/>
  <c r="GM18" i="4"/>
  <c r="GN18" i="4"/>
  <c r="GO18" i="4"/>
  <c r="GP18" i="4"/>
  <c r="GQ18" i="4"/>
  <c r="GR18" i="4"/>
  <c r="GS18" i="4"/>
  <c r="GT18" i="4"/>
  <c r="GU18" i="4"/>
  <c r="GV18" i="4"/>
  <c r="GW18" i="4"/>
  <c r="GX18" i="4"/>
  <c r="GY18" i="4"/>
  <c r="GZ18" i="4"/>
  <c r="HA18" i="4"/>
  <c r="HB18" i="4"/>
  <c r="HC18" i="4"/>
  <c r="HD18" i="4"/>
  <c r="HE18" i="4"/>
  <c r="HF18" i="4"/>
  <c r="HG18" i="4"/>
  <c r="HH18" i="4"/>
  <c r="HI18" i="4"/>
  <c r="HJ18" i="4"/>
  <c r="HK18" i="4"/>
  <c r="HL18" i="4"/>
  <c r="HM18" i="4"/>
  <c r="HN18" i="4"/>
  <c r="HO18" i="4"/>
  <c r="HP18" i="4"/>
  <c r="HQ18" i="4"/>
  <c r="HR18" i="4"/>
  <c r="HS18" i="4"/>
  <c r="HT18" i="4"/>
  <c r="HU18" i="4"/>
  <c r="HV18" i="4"/>
  <c r="HW18" i="4"/>
  <c r="HX18" i="4"/>
  <c r="HY18" i="4"/>
  <c r="HZ18" i="4"/>
  <c r="IA18" i="4"/>
  <c r="IB18" i="4"/>
  <c r="IC18" i="4"/>
  <c r="ID18" i="4"/>
  <c r="IE18" i="4"/>
  <c r="IF18" i="4"/>
  <c r="IG18" i="4"/>
  <c r="IH18" i="4"/>
  <c r="II18" i="4"/>
  <c r="IJ18" i="4"/>
  <c r="IK18" i="4"/>
  <c r="IL18" i="4"/>
  <c r="IM18" i="4"/>
  <c r="IN18" i="4"/>
  <c r="IO18" i="4"/>
  <c r="IP18" i="4"/>
  <c r="IQ18" i="4"/>
  <c r="IR18" i="4"/>
  <c r="IS18" i="4"/>
  <c r="IT18" i="4"/>
  <c r="IU18" i="4"/>
  <c r="IV18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DW17" i="4"/>
  <c r="DX17" i="4"/>
  <c r="DY17" i="4"/>
  <c r="DZ17" i="4"/>
  <c r="EA17" i="4"/>
  <c r="EB17" i="4"/>
  <c r="EC17" i="4"/>
  <c r="ED17" i="4"/>
  <c r="EE17" i="4"/>
  <c r="EF17" i="4"/>
  <c r="EG17" i="4"/>
  <c r="EH17" i="4"/>
  <c r="EI17" i="4"/>
  <c r="EJ17" i="4"/>
  <c r="EK17" i="4"/>
  <c r="EL17" i="4"/>
  <c r="EM17" i="4"/>
  <c r="EN17" i="4"/>
  <c r="EO17" i="4"/>
  <c r="EP17" i="4"/>
  <c r="EQ17" i="4"/>
  <c r="ER17" i="4"/>
  <c r="ES17" i="4"/>
  <c r="ET17" i="4"/>
  <c r="EU17" i="4"/>
  <c r="EV17" i="4"/>
  <c r="EW17" i="4"/>
  <c r="EX17" i="4"/>
  <c r="EY17" i="4"/>
  <c r="EZ17" i="4"/>
  <c r="FA17" i="4"/>
  <c r="FB17" i="4"/>
  <c r="FC17" i="4"/>
  <c r="FD17" i="4"/>
  <c r="FE17" i="4"/>
  <c r="FF17" i="4"/>
  <c r="FG17" i="4"/>
  <c r="FH17" i="4"/>
  <c r="FI17" i="4"/>
  <c r="FJ17" i="4"/>
  <c r="FK17" i="4"/>
  <c r="FL17" i="4"/>
  <c r="FM17" i="4"/>
  <c r="FN17" i="4"/>
  <c r="FO17" i="4"/>
  <c r="FP17" i="4"/>
  <c r="FQ17" i="4"/>
  <c r="FR17" i="4"/>
  <c r="FS17" i="4"/>
  <c r="FT17" i="4"/>
  <c r="FU17" i="4"/>
  <c r="FV17" i="4"/>
  <c r="FW17" i="4"/>
  <c r="FX17" i="4"/>
  <c r="FY17" i="4"/>
  <c r="FZ17" i="4"/>
  <c r="GA17" i="4"/>
  <c r="GB17" i="4"/>
  <c r="GC17" i="4"/>
  <c r="GD17" i="4"/>
  <c r="GE17" i="4"/>
  <c r="GF17" i="4"/>
  <c r="GG17" i="4"/>
  <c r="GH17" i="4"/>
  <c r="GI17" i="4"/>
  <c r="GJ17" i="4"/>
  <c r="GK17" i="4"/>
  <c r="GL17" i="4"/>
  <c r="GM17" i="4"/>
  <c r="GN17" i="4"/>
  <c r="GO17" i="4"/>
  <c r="GP17" i="4"/>
  <c r="GQ17" i="4"/>
  <c r="GR17" i="4"/>
  <c r="GS17" i="4"/>
  <c r="GT17" i="4"/>
  <c r="GU17" i="4"/>
  <c r="GV17" i="4"/>
  <c r="GW17" i="4"/>
  <c r="GX17" i="4"/>
  <c r="GY17" i="4"/>
  <c r="GZ17" i="4"/>
  <c r="HA17" i="4"/>
  <c r="HB17" i="4"/>
  <c r="HC17" i="4"/>
  <c r="HD17" i="4"/>
  <c r="HE17" i="4"/>
  <c r="HF17" i="4"/>
  <c r="HG17" i="4"/>
  <c r="HH17" i="4"/>
  <c r="HI17" i="4"/>
  <c r="HJ17" i="4"/>
  <c r="HK17" i="4"/>
  <c r="HL17" i="4"/>
  <c r="HM17" i="4"/>
  <c r="HN17" i="4"/>
  <c r="HO17" i="4"/>
  <c r="HP17" i="4"/>
  <c r="HQ17" i="4"/>
  <c r="HR17" i="4"/>
  <c r="HS17" i="4"/>
  <c r="HT17" i="4"/>
  <c r="HU17" i="4"/>
  <c r="HV17" i="4"/>
  <c r="HW17" i="4"/>
  <c r="HX17" i="4"/>
  <c r="HY17" i="4"/>
  <c r="HZ17" i="4"/>
  <c r="IA17" i="4"/>
  <c r="IB17" i="4"/>
  <c r="IC17" i="4"/>
  <c r="ID17" i="4"/>
  <c r="IE17" i="4"/>
  <c r="IF17" i="4"/>
  <c r="IG17" i="4"/>
  <c r="IH17" i="4"/>
  <c r="II17" i="4"/>
  <c r="IJ17" i="4"/>
  <c r="IK17" i="4"/>
  <c r="IL17" i="4"/>
  <c r="IM17" i="4"/>
  <c r="IN17" i="4"/>
  <c r="IO17" i="4"/>
  <c r="IP17" i="4"/>
  <c r="IQ17" i="4"/>
  <c r="IR17" i="4"/>
  <c r="IS17" i="4"/>
  <c r="IT17" i="4"/>
  <c r="IU17" i="4"/>
  <c r="IV17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EU16" i="4"/>
  <c r="EV16" i="4"/>
  <c r="EW16" i="4"/>
  <c r="EX16" i="4"/>
  <c r="EY16" i="4"/>
  <c r="EZ16" i="4"/>
  <c r="FA16" i="4"/>
  <c r="FB16" i="4"/>
  <c r="FC16" i="4"/>
  <c r="FD16" i="4"/>
  <c r="FE16" i="4"/>
  <c r="FF16" i="4"/>
  <c r="FG16" i="4"/>
  <c r="FH16" i="4"/>
  <c r="FI16" i="4"/>
  <c r="FJ16" i="4"/>
  <c r="FK16" i="4"/>
  <c r="FL16" i="4"/>
  <c r="FM16" i="4"/>
  <c r="FN16" i="4"/>
  <c r="FO16" i="4"/>
  <c r="FP16" i="4"/>
  <c r="FQ16" i="4"/>
  <c r="FR16" i="4"/>
  <c r="FS16" i="4"/>
  <c r="FT16" i="4"/>
  <c r="FU16" i="4"/>
  <c r="FV16" i="4"/>
  <c r="FW16" i="4"/>
  <c r="FX16" i="4"/>
  <c r="FY16" i="4"/>
  <c r="FZ16" i="4"/>
  <c r="GA16" i="4"/>
  <c r="GB16" i="4"/>
  <c r="GC16" i="4"/>
  <c r="GD16" i="4"/>
  <c r="GE16" i="4"/>
  <c r="GF16" i="4"/>
  <c r="GG16" i="4"/>
  <c r="GH16" i="4"/>
  <c r="GI16" i="4"/>
  <c r="GJ16" i="4"/>
  <c r="GK16" i="4"/>
  <c r="GL16" i="4"/>
  <c r="GM16" i="4"/>
  <c r="GN16" i="4"/>
  <c r="GO16" i="4"/>
  <c r="GP16" i="4"/>
  <c r="GQ16" i="4"/>
  <c r="GR16" i="4"/>
  <c r="GS16" i="4"/>
  <c r="GT16" i="4"/>
  <c r="GU16" i="4"/>
  <c r="GV16" i="4"/>
  <c r="GW16" i="4"/>
  <c r="GX16" i="4"/>
  <c r="GY16" i="4"/>
  <c r="GZ16" i="4"/>
  <c r="HA16" i="4"/>
  <c r="HB16" i="4"/>
  <c r="HC16" i="4"/>
  <c r="HD16" i="4"/>
  <c r="HE16" i="4"/>
  <c r="HF16" i="4"/>
  <c r="HG16" i="4"/>
  <c r="HH16" i="4"/>
  <c r="HI16" i="4"/>
  <c r="HJ16" i="4"/>
  <c r="HK16" i="4"/>
  <c r="HL16" i="4"/>
  <c r="HM16" i="4"/>
  <c r="HN16" i="4"/>
  <c r="HO16" i="4"/>
  <c r="HP16" i="4"/>
  <c r="HQ16" i="4"/>
  <c r="HR16" i="4"/>
  <c r="HS16" i="4"/>
  <c r="HT16" i="4"/>
  <c r="HU16" i="4"/>
  <c r="HV16" i="4"/>
  <c r="HW16" i="4"/>
  <c r="HX16" i="4"/>
  <c r="HY16" i="4"/>
  <c r="HZ16" i="4"/>
  <c r="IA16" i="4"/>
  <c r="IB16" i="4"/>
  <c r="IC16" i="4"/>
  <c r="ID16" i="4"/>
  <c r="IE16" i="4"/>
  <c r="IF16" i="4"/>
  <c r="IG16" i="4"/>
  <c r="IH16" i="4"/>
  <c r="II16" i="4"/>
  <c r="IJ16" i="4"/>
  <c r="IK16" i="4"/>
  <c r="IL16" i="4"/>
  <c r="IM16" i="4"/>
  <c r="IN16" i="4"/>
  <c r="IO16" i="4"/>
  <c r="IP16" i="4"/>
  <c r="IQ16" i="4"/>
  <c r="IR16" i="4"/>
  <c r="IS16" i="4"/>
  <c r="IT16" i="4"/>
  <c r="IU16" i="4"/>
  <c r="IV16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EX15" i="4"/>
  <c r="EY15" i="4"/>
  <c r="EZ15" i="4"/>
  <c r="FA15" i="4"/>
  <c r="FB15" i="4"/>
  <c r="FC15" i="4"/>
  <c r="FD15" i="4"/>
  <c r="FE15" i="4"/>
  <c r="FF15" i="4"/>
  <c r="FG15" i="4"/>
  <c r="FH15" i="4"/>
  <c r="FI15" i="4"/>
  <c r="FJ15" i="4"/>
  <c r="FK15" i="4"/>
  <c r="FL15" i="4"/>
  <c r="FM15" i="4"/>
  <c r="FN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GB15" i="4"/>
  <c r="GC15" i="4"/>
  <c r="GD15" i="4"/>
  <c r="GE15" i="4"/>
  <c r="GF15" i="4"/>
  <c r="GG15" i="4"/>
  <c r="GH15" i="4"/>
  <c r="GI15" i="4"/>
  <c r="GJ15" i="4"/>
  <c r="GK15" i="4"/>
  <c r="GL15" i="4"/>
  <c r="GM15" i="4"/>
  <c r="GN15" i="4"/>
  <c r="GO15" i="4"/>
  <c r="GP15" i="4"/>
  <c r="GQ15" i="4"/>
  <c r="GR15" i="4"/>
  <c r="GS15" i="4"/>
  <c r="GT15" i="4"/>
  <c r="GU15" i="4"/>
  <c r="GV15" i="4"/>
  <c r="GW15" i="4"/>
  <c r="GX15" i="4"/>
  <c r="GY15" i="4"/>
  <c r="GZ15" i="4"/>
  <c r="HA15" i="4"/>
  <c r="HB15" i="4"/>
  <c r="HC15" i="4"/>
  <c r="HD15" i="4"/>
  <c r="HE15" i="4"/>
  <c r="HF15" i="4"/>
  <c r="HG15" i="4"/>
  <c r="HH15" i="4"/>
  <c r="HI15" i="4"/>
  <c r="HJ15" i="4"/>
  <c r="HK15" i="4"/>
  <c r="HL15" i="4"/>
  <c r="HM15" i="4"/>
  <c r="HN15" i="4"/>
  <c r="HO15" i="4"/>
  <c r="HP15" i="4"/>
  <c r="HQ15" i="4"/>
  <c r="HR15" i="4"/>
  <c r="HS15" i="4"/>
  <c r="HT15" i="4"/>
  <c r="HU15" i="4"/>
  <c r="HV15" i="4"/>
  <c r="HW15" i="4"/>
  <c r="HX15" i="4"/>
  <c r="HY15" i="4"/>
  <c r="HZ15" i="4"/>
  <c r="IA15" i="4"/>
  <c r="IB15" i="4"/>
  <c r="IC15" i="4"/>
  <c r="ID15" i="4"/>
  <c r="IE15" i="4"/>
  <c r="IF15" i="4"/>
  <c r="IG15" i="4"/>
  <c r="IH15" i="4"/>
  <c r="II15" i="4"/>
  <c r="IJ15" i="4"/>
  <c r="IK15" i="4"/>
  <c r="IL15" i="4"/>
  <c r="IM15" i="4"/>
  <c r="IN15" i="4"/>
  <c r="IO15" i="4"/>
  <c r="IP15" i="4"/>
  <c r="IQ15" i="4"/>
  <c r="IR15" i="4"/>
  <c r="IS15" i="4"/>
  <c r="IT15" i="4"/>
  <c r="IU15" i="4"/>
  <c r="IV15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EV14" i="4"/>
  <c r="EW14" i="4"/>
  <c r="EX14" i="4"/>
  <c r="EY14" i="4"/>
  <c r="EZ14" i="4"/>
  <c r="FA14" i="4"/>
  <c r="FB14" i="4"/>
  <c r="FC14" i="4"/>
  <c r="FD14" i="4"/>
  <c r="FE14" i="4"/>
  <c r="FF14" i="4"/>
  <c r="FG14" i="4"/>
  <c r="FH14" i="4"/>
  <c r="FI14" i="4"/>
  <c r="FJ14" i="4"/>
  <c r="FK14" i="4"/>
  <c r="FL14" i="4"/>
  <c r="FM14" i="4"/>
  <c r="FN14" i="4"/>
  <c r="FO14" i="4"/>
  <c r="FP14" i="4"/>
  <c r="FQ14" i="4"/>
  <c r="FR14" i="4"/>
  <c r="FS14" i="4"/>
  <c r="FT14" i="4"/>
  <c r="FU14" i="4"/>
  <c r="FV14" i="4"/>
  <c r="FW14" i="4"/>
  <c r="FX14" i="4"/>
  <c r="FY14" i="4"/>
  <c r="FZ14" i="4"/>
  <c r="GA14" i="4"/>
  <c r="GB14" i="4"/>
  <c r="GC14" i="4"/>
  <c r="GD14" i="4"/>
  <c r="GE14" i="4"/>
  <c r="GF14" i="4"/>
  <c r="GG14" i="4"/>
  <c r="GH14" i="4"/>
  <c r="GI14" i="4"/>
  <c r="GJ14" i="4"/>
  <c r="GK14" i="4"/>
  <c r="GL14" i="4"/>
  <c r="GM14" i="4"/>
  <c r="GN14" i="4"/>
  <c r="GO14" i="4"/>
  <c r="GP14" i="4"/>
  <c r="GQ14" i="4"/>
  <c r="GR14" i="4"/>
  <c r="GS14" i="4"/>
  <c r="GT14" i="4"/>
  <c r="GU14" i="4"/>
  <c r="GV14" i="4"/>
  <c r="GW14" i="4"/>
  <c r="GX14" i="4"/>
  <c r="GY14" i="4"/>
  <c r="GZ14" i="4"/>
  <c r="HA14" i="4"/>
  <c r="HB14" i="4"/>
  <c r="HC14" i="4"/>
  <c r="HD14" i="4"/>
  <c r="HE14" i="4"/>
  <c r="HF14" i="4"/>
  <c r="HG14" i="4"/>
  <c r="HH14" i="4"/>
  <c r="HI14" i="4"/>
  <c r="HJ14" i="4"/>
  <c r="HK14" i="4"/>
  <c r="HL14" i="4"/>
  <c r="HM14" i="4"/>
  <c r="HN14" i="4"/>
  <c r="HO14" i="4"/>
  <c r="HP14" i="4"/>
  <c r="HQ14" i="4"/>
  <c r="HR14" i="4"/>
  <c r="HS14" i="4"/>
  <c r="HT14" i="4"/>
  <c r="HU14" i="4"/>
  <c r="HV14" i="4"/>
  <c r="HW14" i="4"/>
  <c r="HX14" i="4"/>
  <c r="HY14" i="4"/>
  <c r="HZ14" i="4"/>
  <c r="IA14" i="4"/>
  <c r="IB14" i="4"/>
  <c r="IC14" i="4"/>
  <c r="ID14" i="4"/>
  <c r="IE14" i="4"/>
  <c r="IF14" i="4"/>
  <c r="IG14" i="4"/>
  <c r="IH14" i="4"/>
  <c r="II14" i="4"/>
  <c r="IJ14" i="4"/>
  <c r="IK14" i="4"/>
  <c r="IL14" i="4"/>
  <c r="IM14" i="4"/>
  <c r="IN14" i="4"/>
  <c r="IO14" i="4"/>
  <c r="IP14" i="4"/>
  <c r="IQ14" i="4"/>
  <c r="IR14" i="4"/>
  <c r="IS14" i="4"/>
  <c r="IT14" i="4"/>
  <c r="IU14" i="4"/>
  <c r="IV14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FB13" i="4"/>
  <c r="FC13" i="4"/>
  <c r="FD13" i="4"/>
  <c r="FE13" i="4"/>
  <c r="FF13" i="4"/>
  <c r="FG13" i="4"/>
  <c r="FH13" i="4"/>
  <c r="FI13" i="4"/>
  <c r="FJ13" i="4"/>
  <c r="FK13" i="4"/>
  <c r="FL13" i="4"/>
  <c r="FM13" i="4"/>
  <c r="FN13" i="4"/>
  <c r="FO13" i="4"/>
  <c r="FP13" i="4"/>
  <c r="FQ13" i="4"/>
  <c r="FR13" i="4"/>
  <c r="FS13" i="4"/>
  <c r="FT13" i="4"/>
  <c r="FU13" i="4"/>
  <c r="FV13" i="4"/>
  <c r="FW13" i="4"/>
  <c r="FX13" i="4"/>
  <c r="FY13" i="4"/>
  <c r="FZ13" i="4"/>
  <c r="GA13" i="4"/>
  <c r="GB13" i="4"/>
  <c r="GC13" i="4"/>
  <c r="GD13" i="4"/>
  <c r="GE13" i="4"/>
  <c r="GF13" i="4"/>
  <c r="GG13" i="4"/>
  <c r="GH13" i="4"/>
  <c r="GI13" i="4"/>
  <c r="GJ13" i="4"/>
  <c r="GK13" i="4"/>
  <c r="GL13" i="4"/>
  <c r="GM13" i="4"/>
  <c r="GN13" i="4"/>
  <c r="GO13" i="4"/>
  <c r="GP13" i="4"/>
  <c r="GQ13" i="4"/>
  <c r="GR13" i="4"/>
  <c r="GS13" i="4"/>
  <c r="GT13" i="4"/>
  <c r="GU13" i="4"/>
  <c r="GV13" i="4"/>
  <c r="GW13" i="4"/>
  <c r="GX13" i="4"/>
  <c r="GY13" i="4"/>
  <c r="GZ13" i="4"/>
  <c r="HA13" i="4"/>
  <c r="HB13" i="4"/>
  <c r="HC13" i="4"/>
  <c r="HD13" i="4"/>
  <c r="HE13" i="4"/>
  <c r="HF13" i="4"/>
  <c r="HG13" i="4"/>
  <c r="HH13" i="4"/>
  <c r="HI13" i="4"/>
  <c r="HJ13" i="4"/>
  <c r="HK13" i="4"/>
  <c r="HL13" i="4"/>
  <c r="HM13" i="4"/>
  <c r="HN13" i="4"/>
  <c r="HO13" i="4"/>
  <c r="HP13" i="4"/>
  <c r="HQ13" i="4"/>
  <c r="HR13" i="4"/>
  <c r="HS13" i="4"/>
  <c r="HT13" i="4"/>
  <c r="HU13" i="4"/>
  <c r="HV13" i="4"/>
  <c r="HW13" i="4"/>
  <c r="HX13" i="4"/>
  <c r="HY13" i="4"/>
  <c r="HZ13" i="4"/>
  <c r="IA13" i="4"/>
  <c r="IB13" i="4"/>
  <c r="IC13" i="4"/>
  <c r="ID13" i="4"/>
  <c r="IE13" i="4"/>
  <c r="IF13" i="4"/>
  <c r="IG13" i="4"/>
  <c r="IH13" i="4"/>
  <c r="II13" i="4"/>
  <c r="IJ13" i="4"/>
  <c r="IK13" i="4"/>
  <c r="IL13" i="4"/>
  <c r="IM13" i="4"/>
  <c r="IN13" i="4"/>
  <c r="IO13" i="4"/>
  <c r="IP13" i="4"/>
  <c r="IQ13" i="4"/>
  <c r="IR13" i="4"/>
  <c r="IS13" i="4"/>
  <c r="IT13" i="4"/>
  <c r="IU13" i="4"/>
  <c r="IV13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ER12" i="4"/>
  <c r="ES12" i="4"/>
  <c r="ET12" i="4"/>
  <c r="EU12" i="4"/>
  <c r="EV12" i="4"/>
  <c r="EW12" i="4"/>
  <c r="EX12" i="4"/>
  <c r="EY12" i="4"/>
  <c r="EZ12" i="4"/>
  <c r="FA12" i="4"/>
  <c r="FB12" i="4"/>
  <c r="FC12" i="4"/>
  <c r="FD12" i="4"/>
  <c r="FE12" i="4"/>
  <c r="FF12" i="4"/>
  <c r="FG12" i="4"/>
  <c r="FH12" i="4"/>
  <c r="FI12" i="4"/>
  <c r="FJ12" i="4"/>
  <c r="FK12" i="4"/>
  <c r="FL12" i="4"/>
  <c r="FM12" i="4"/>
  <c r="FN12" i="4"/>
  <c r="FO12" i="4"/>
  <c r="FP12" i="4"/>
  <c r="FQ12" i="4"/>
  <c r="FR12" i="4"/>
  <c r="FS12" i="4"/>
  <c r="FT12" i="4"/>
  <c r="FU12" i="4"/>
  <c r="FV12" i="4"/>
  <c r="FW12" i="4"/>
  <c r="FX12" i="4"/>
  <c r="FY12" i="4"/>
  <c r="FZ12" i="4"/>
  <c r="GA12" i="4"/>
  <c r="GB12" i="4"/>
  <c r="GC12" i="4"/>
  <c r="GD12" i="4"/>
  <c r="GE12" i="4"/>
  <c r="GF12" i="4"/>
  <c r="GG12" i="4"/>
  <c r="GH12" i="4"/>
  <c r="GI12" i="4"/>
  <c r="GJ12" i="4"/>
  <c r="GK12" i="4"/>
  <c r="GL12" i="4"/>
  <c r="GM12" i="4"/>
  <c r="GN12" i="4"/>
  <c r="GO12" i="4"/>
  <c r="GP12" i="4"/>
  <c r="GQ12" i="4"/>
  <c r="GR12" i="4"/>
  <c r="GS12" i="4"/>
  <c r="GT12" i="4"/>
  <c r="GU12" i="4"/>
  <c r="GV12" i="4"/>
  <c r="GW12" i="4"/>
  <c r="GX12" i="4"/>
  <c r="GY12" i="4"/>
  <c r="GZ12" i="4"/>
  <c r="HA12" i="4"/>
  <c r="HB12" i="4"/>
  <c r="HC12" i="4"/>
  <c r="HD12" i="4"/>
  <c r="HE12" i="4"/>
  <c r="HF12" i="4"/>
  <c r="HG12" i="4"/>
  <c r="HH12" i="4"/>
  <c r="HI12" i="4"/>
  <c r="HJ12" i="4"/>
  <c r="HK12" i="4"/>
  <c r="HL12" i="4"/>
  <c r="HM12" i="4"/>
  <c r="HN12" i="4"/>
  <c r="HO12" i="4"/>
  <c r="HP12" i="4"/>
  <c r="HQ12" i="4"/>
  <c r="HR12" i="4"/>
  <c r="HS12" i="4"/>
  <c r="HT12" i="4"/>
  <c r="HU12" i="4"/>
  <c r="HV12" i="4"/>
  <c r="HW12" i="4"/>
  <c r="HX12" i="4"/>
  <c r="HY12" i="4"/>
  <c r="HZ12" i="4"/>
  <c r="IA12" i="4"/>
  <c r="IB12" i="4"/>
  <c r="IC12" i="4"/>
  <c r="ID12" i="4"/>
  <c r="IE12" i="4"/>
  <c r="IF12" i="4"/>
  <c r="IG12" i="4"/>
  <c r="IH12" i="4"/>
  <c r="II12" i="4"/>
  <c r="IJ12" i="4"/>
  <c r="IK12" i="4"/>
  <c r="IL12" i="4"/>
  <c r="IM12" i="4"/>
  <c r="IN12" i="4"/>
  <c r="IO12" i="4"/>
  <c r="IP12" i="4"/>
  <c r="IQ12" i="4"/>
  <c r="IR12" i="4"/>
  <c r="IS12" i="4"/>
  <c r="IT12" i="4"/>
  <c r="IU12" i="4"/>
  <c r="IV12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1" i="4"/>
  <c r="GC11" i="4"/>
  <c r="GD11" i="4"/>
  <c r="GE11" i="4"/>
  <c r="GF11" i="4"/>
  <c r="GG11" i="4"/>
  <c r="GH11" i="4"/>
  <c r="GI11" i="4"/>
  <c r="GJ11" i="4"/>
  <c r="GK11" i="4"/>
  <c r="GL11" i="4"/>
  <c r="GM11" i="4"/>
  <c r="GN11" i="4"/>
  <c r="GO11" i="4"/>
  <c r="GP11" i="4"/>
  <c r="GQ11" i="4"/>
  <c r="GR11" i="4"/>
  <c r="GS11" i="4"/>
  <c r="GT11" i="4"/>
  <c r="GU11" i="4"/>
  <c r="GV11" i="4"/>
  <c r="GW11" i="4"/>
  <c r="GX11" i="4"/>
  <c r="GY11" i="4"/>
  <c r="GZ11" i="4"/>
  <c r="HA11" i="4"/>
  <c r="HB11" i="4"/>
  <c r="HC11" i="4"/>
  <c r="HD11" i="4"/>
  <c r="HE11" i="4"/>
  <c r="HF11" i="4"/>
  <c r="HG11" i="4"/>
  <c r="HH11" i="4"/>
  <c r="HI11" i="4"/>
  <c r="HJ11" i="4"/>
  <c r="HK11" i="4"/>
  <c r="HL11" i="4"/>
  <c r="HM11" i="4"/>
  <c r="HN11" i="4"/>
  <c r="HO11" i="4"/>
  <c r="HP11" i="4"/>
  <c r="HQ11" i="4"/>
  <c r="HR11" i="4"/>
  <c r="HS11" i="4"/>
  <c r="HT11" i="4"/>
  <c r="HU11" i="4"/>
  <c r="HV11" i="4"/>
  <c r="HW11" i="4"/>
  <c r="HX11" i="4"/>
  <c r="HY11" i="4"/>
  <c r="HZ11" i="4"/>
  <c r="IA11" i="4"/>
  <c r="IB11" i="4"/>
  <c r="IC11" i="4"/>
  <c r="ID11" i="4"/>
  <c r="IE11" i="4"/>
  <c r="IF11" i="4"/>
  <c r="IG11" i="4"/>
  <c r="IH11" i="4"/>
  <c r="II11" i="4"/>
  <c r="IJ11" i="4"/>
  <c r="IK11" i="4"/>
  <c r="IL11" i="4"/>
  <c r="IM11" i="4"/>
  <c r="IN11" i="4"/>
  <c r="IO11" i="4"/>
  <c r="IP11" i="4"/>
  <c r="IQ11" i="4"/>
  <c r="IR11" i="4"/>
  <c r="IS11" i="4"/>
  <c r="IT11" i="4"/>
  <c r="IU11" i="4"/>
  <c r="IV11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ER10" i="4"/>
  <c r="ES10" i="4"/>
  <c r="ET10" i="4"/>
  <c r="EU10" i="4"/>
  <c r="EV10" i="4"/>
  <c r="EW10" i="4"/>
  <c r="EX10" i="4"/>
  <c r="EY10" i="4"/>
  <c r="EZ10" i="4"/>
  <c r="FA10" i="4"/>
  <c r="FB10" i="4"/>
  <c r="FC10" i="4"/>
  <c r="FD10" i="4"/>
  <c r="FE10" i="4"/>
  <c r="FF10" i="4"/>
  <c r="FG10" i="4"/>
  <c r="FH10" i="4"/>
  <c r="FI10" i="4"/>
  <c r="FJ10" i="4"/>
  <c r="FK10" i="4"/>
  <c r="FL10" i="4"/>
  <c r="FM10" i="4"/>
  <c r="FN10" i="4"/>
  <c r="FO10" i="4"/>
  <c r="FP10" i="4"/>
  <c r="FQ10" i="4"/>
  <c r="FR10" i="4"/>
  <c r="FS10" i="4"/>
  <c r="FT10" i="4"/>
  <c r="FU10" i="4"/>
  <c r="FV10" i="4"/>
  <c r="FW10" i="4"/>
  <c r="FX10" i="4"/>
  <c r="FY10" i="4"/>
  <c r="FZ10" i="4"/>
  <c r="GA10" i="4"/>
  <c r="GB10" i="4"/>
  <c r="GC10" i="4"/>
  <c r="GD10" i="4"/>
  <c r="GE10" i="4"/>
  <c r="GF10" i="4"/>
  <c r="GG10" i="4"/>
  <c r="GH10" i="4"/>
  <c r="GI10" i="4"/>
  <c r="GJ10" i="4"/>
  <c r="GK10" i="4"/>
  <c r="GL10" i="4"/>
  <c r="GM10" i="4"/>
  <c r="GN10" i="4"/>
  <c r="GO10" i="4"/>
  <c r="GP10" i="4"/>
  <c r="GQ10" i="4"/>
  <c r="GR10" i="4"/>
  <c r="GS10" i="4"/>
  <c r="GT10" i="4"/>
  <c r="GU10" i="4"/>
  <c r="GV10" i="4"/>
  <c r="GW10" i="4"/>
  <c r="GX10" i="4"/>
  <c r="GY10" i="4"/>
  <c r="GZ10" i="4"/>
  <c r="HA10" i="4"/>
  <c r="HB10" i="4"/>
  <c r="HC10" i="4"/>
  <c r="HD10" i="4"/>
  <c r="HE10" i="4"/>
  <c r="HF10" i="4"/>
  <c r="HG10" i="4"/>
  <c r="HH10" i="4"/>
  <c r="HI10" i="4"/>
  <c r="HJ10" i="4"/>
  <c r="HK10" i="4"/>
  <c r="HL10" i="4"/>
  <c r="HM10" i="4"/>
  <c r="HN10" i="4"/>
  <c r="HO10" i="4"/>
  <c r="HP10" i="4"/>
  <c r="HQ10" i="4"/>
  <c r="HR10" i="4"/>
  <c r="HS10" i="4"/>
  <c r="HT10" i="4"/>
  <c r="HU10" i="4"/>
  <c r="HV10" i="4"/>
  <c r="HW10" i="4"/>
  <c r="HX10" i="4"/>
  <c r="HY10" i="4"/>
  <c r="HZ10" i="4"/>
  <c r="IA10" i="4"/>
  <c r="IB10" i="4"/>
  <c r="IC10" i="4"/>
  <c r="ID10" i="4"/>
  <c r="IE10" i="4"/>
  <c r="IF10" i="4"/>
  <c r="IG10" i="4"/>
  <c r="IH10" i="4"/>
  <c r="II10" i="4"/>
  <c r="IJ10" i="4"/>
  <c r="IK10" i="4"/>
  <c r="IL10" i="4"/>
  <c r="IM10" i="4"/>
  <c r="IN10" i="4"/>
  <c r="IO10" i="4"/>
  <c r="IP10" i="4"/>
  <c r="IQ10" i="4"/>
  <c r="IR10" i="4"/>
  <c r="IS10" i="4"/>
  <c r="IT10" i="4"/>
  <c r="IU10" i="4"/>
  <c r="IV10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FE9" i="4"/>
  <c r="FF9" i="4"/>
  <c r="FG9" i="4"/>
  <c r="FH9" i="4"/>
  <c r="FI9" i="4"/>
  <c r="FJ9" i="4"/>
  <c r="FK9" i="4"/>
  <c r="FL9" i="4"/>
  <c r="FM9" i="4"/>
  <c r="FN9" i="4"/>
  <c r="FO9" i="4"/>
  <c r="FP9" i="4"/>
  <c r="FQ9" i="4"/>
  <c r="FR9" i="4"/>
  <c r="FS9" i="4"/>
  <c r="FT9" i="4"/>
  <c r="FU9" i="4"/>
  <c r="FV9" i="4"/>
  <c r="FW9" i="4"/>
  <c r="FX9" i="4"/>
  <c r="FY9" i="4"/>
  <c r="FZ9" i="4"/>
  <c r="GA9" i="4"/>
  <c r="GB9" i="4"/>
  <c r="GC9" i="4"/>
  <c r="GD9" i="4"/>
  <c r="GE9" i="4"/>
  <c r="GF9" i="4"/>
  <c r="GG9" i="4"/>
  <c r="GH9" i="4"/>
  <c r="GI9" i="4"/>
  <c r="GJ9" i="4"/>
  <c r="GK9" i="4"/>
  <c r="GL9" i="4"/>
  <c r="GM9" i="4"/>
  <c r="GN9" i="4"/>
  <c r="GO9" i="4"/>
  <c r="GP9" i="4"/>
  <c r="GQ9" i="4"/>
  <c r="GR9" i="4"/>
  <c r="GS9" i="4"/>
  <c r="GT9" i="4"/>
  <c r="GU9" i="4"/>
  <c r="GV9" i="4"/>
  <c r="GW9" i="4"/>
  <c r="GX9" i="4"/>
  <c r="GY9" i="4"/>
  <c r="GZ9" i="4"/>
  <c r="HA9" i="4"/>
  <c r="HB9" i="4"/>
  <c r="HC9" i="4"/>
  <c r="HD9" i="4"/>
  <c r="HE9" i="4"/>
  <c r="HF9" i="4"/>
  <c r="HG9" i="4"/>
  <c r="HH9" i="4"/>
  <c r="HI9" i="4"/>
  <c r="HJ9" i="4"/>
  <c r="HK9" i="4"/>
  <c r="HL9" i="4"/>
  <c r="HM9" i="4"/>
  <c r="HN9" i="4"/>
  <c r="HO9" i="4"/>
  <c r="HP9" i="4"/>
  <c r="HQ9" i="4"/>
  <c r="HR9" i="4"/>
  <c r="HS9" i="4"/>
  <c r="HT9" i="4"/>
  <c r="HU9" i="4"/>
  <c r="HV9" i="4"/>
  <c r="HW9" i="4"/>
  <c r="HX9" i="4"/>
  <c r="HY9" i="4"/>
  <c r="HZ9" i="4"/>
  <c r="IA9" i="4"/>
  <c r="IB9" i="4"/>
  <c r="IC9" i="4"/>
  <c r="ID9" i="4"/>
  <c r="IE9" i="4"/>
  <c r="IF9" i="4"/>
  <c r="IG9" i="4"/>
  <c r="IH9" i="4"/>
  <c r="II9" i="4"/>
  <c r="IJ9" i="4"/>
  <c r="IK9" i="4"/>
  <c r="IL9" i="4"/>
  <c r="IM9" i="4"/>
  <c r="IN9" i="4"/>
  <c r="IO9" i="4"/>
  <c r="IP9" i="4"/>
  <c r="IQ9" i="4"/>
  <c r="IR9" i="4"/>
  <c r="IS9" i="4"/>
  <c r="IT9" i="4"/>
  <c r="IU9" i="4"/>
  <c r="IV9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FK8" i="4"/>
  <c r="FL8" i="4"/>
  <c r="FM8" i="4"/>
  <c r="FN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GM8" i="4"/>
  <c r="GN8" i="4"/>
  <c r="GO8" i="4"/>
  <c r="GP8" i="4"/>
  <c r="GQ8" i="4"/>
  <c r="GR8" i="4"/>
  <c r="GS8" i="4"/>
  <c r="GT8" i="4"/>
  <c r="GU8" i="4"/>
  <c r="GV8" i="4"/>
  <c r="GW8" i="4"/>
  <c r="GX8" i="4"/>
  <c r="GY8" i="4"/>
  <c r="GZ8" i="4"/>
  <c r="HA8" i="4"/>
  <c r="HB8" i="4"/>
  <c r="HC8" i="4"/>
  <c r="HD8" i="4"/>
  <c r="HE8" i="4"/>
  <c r="HF8" i="4"/>
  <c r="HG8" i="4"/>
  <c r="HH8" i="4"/>
  <c r="HI8" i="4"/>
  <c r="HJ8" i="4"/>
  <c r="HK8" i="4"/>
  <c r="HL8" i="4"/>
  <c r="HM8" i="4"/>
  <c r="HN8" i="4"/>
  <c r="HO8" i="4"/>
  <c r="HP8" i="4"/>
  <c r="HQ8" i="4"/>
  <c r="HR8" i="4"/>
  <c r="HS8" i="4"/>
  <c r="HT8" i="4"/>
  <c r="HU8" i="4"/>
  <c r="HV8" i="4"/>
  <c r="HW8" i="4"/>
  <c r="HX8" i="4"/>
  <c r="HY8" i="4"/>
  <c r="HZ8" i="4"/>
  <c r="IA8" i="4"/>
  <c r="IB8" i="4"/>
  <c r="IC8" i="4"/>
  <c r="ID8" i="4"/>
  <c r="IE8" i="4"/>
  <c r="IF8" i="4"/>
  <c r="IG8" i="4"/>
  <c r="IH8" i="4"/>
  <c r="II8" i="4"/>
  <c r="IJ8" i="4"/>
  <c r="IK8" i="4"/>
  <c r="IL8" i="4"/>
  <c r="IM8" i="4"/>
  <c r="IN8" i="4"/>
  <c r="IO8" i="4"/>
  <c r="IP8" i="4"/>
  <c r="IQ8" i="4"/>
  <c r="IR8" i="4"/>
  <c r="IS8" i="4"/>
  <c r="IT8" i="4"/>
  <c r="IU8" i="4"/>
  <c r="IV8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FK7" i="4"/>
  <c r="FL7" i="4"/>
  <c r="FM7" i="4"/>
  <c r="FN7" i="4"/>
  <c r="FO7" i="4"/>
  <c r="FP7" i="4"/>
  <c r="FQ7" i="4"/>
  <c r="FR7" i="4"/>
  <c r="FS7" i="4"/>
  <c r="FT7" i="4"/>
  <c r="FU7" i="4"/>
  <c r="FV7" i="4"/>
  <c r="FW7" i="4"/>
  <c r="FX7" i="4"/>
  <c r="FY7" i="4"/>
  <c r="FZ7" i="4"/>
  <c r="GA7" i="4"/>
  <c r="GB7" i="4"/>
  <c r="GC7" i="4"/>
  <c r="GD7" i="4"/>
  <c r="GE7" i="4"/>
  <c r="GF7" i="4"/>
  <c r="GG7" i="4"/>
  <c r="GH7" i="4"/>
  <c r="GI7" i="4"/>
  <c r="GJ7" i="4"/>
  <c r="GK7" i="4"/>
  <c r="GL7" i="4"/>
  <c r="GM7" i="4"/>
  <c r="GN7" i="4"/>
  <c r="GO7" i="4"/>
  <c r="GP7" i="4"/>
  <c r="GQ7" i="4"/>
  <c r="GR7" i="4"/>
  <c r="GS7" i="4"/>
  <c r="GT7" i="4"/>
  <c r="GU7" i="4"/>
  <c r="GV7" i="4"/>
  <c r="GW7" i="4"/>
  <c r="GX7" i="4"/>
  <c r="GY7" i="4"/>
  <c r="GZ7" i="4"/>
  <c r="HA7" i="4"/>
  <c r="HB7" i="4"/>
  <c r="HC7" i="4"/>
  <c r="HD7" i="4"/>
  <c r="HE7" i="4"/>
  <c r="HF7" i="4"/>
  <c r="HG7" i="4"/>
  <c r="HH7" i="4"/>
  <c r="HI7" i="4"/>
  <c r="HJ7" i="4"/>
  <c r="HK7" i="4"/>
  <c r="HL7" i="4"/>
  <c r="HM7" i="4"/>
  <c r="HN7" i="4"/>
  <c r="HO7" i="4"/>
  <c r="HP7" i="4"/>
  <c r="HQ7" i="4"/>
  <c r="HR7" i="4"/>
  <c r="HS7" i="4"/>
  <c r="HT7" i="4"/>
  <c r="HU7" i="4"/>
  <c r="HV7" i="4"/>
  <c r="HW7" i="4"/>
  <c r="HX7" i="4"/>
  <c r="HY7" i="4"/>
  <c r="HZ7" i="4"/>
  <c r="IA7" i="4"/>
  <c r="IB7" i="4"/>
  <c r="IC7" i="4"/>
  <c r="ID7" i="4"/>
  <c r="IE7" i="4"/>
  <c r="IF7" i="4"/>
  <c r="IG7" i="4"/>
  <c r="IH7" i="4"/>
  <c r="II7" i="4"/>
  <c r="IJ7" i="4"/>
  <c r="IK7" i="4"/>
  <c r="IL7" i="4"/>
  <c r="IM7" i="4"/>
  <c r="IN7" i="4"/>
  <c r="IO7" i="4"/>
  <c r="IP7" i="4"/>
  <c r="IQ7" i="4"/>
  <c r="IR7" i="4"/>
  <c r="IS7" i="4"/>
  <c r="IT7" i="4"/>
  <c r="IU7" i="4"/>
  <c r="IV7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FN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D6" i="4"/>
  <c r="GE6" i="4"/>
  <c r="GF6" i="4"/>
  <c r="GG6" i="4"/>
  <c r="GH6" i="4"/>
  <c r="GI6" i="4"/>
  <c r="GJ6" i="4"/>
  <c r="GK6" i="4"/>
  <c r="GL6" i="4"/>
  <c r="GM6" i="4"/>
  <c r="GN6" i="4"/>
  <c r="GO6" i="4"/>
  <c r="GP6" i="4"/>
  <c r="GQ6" i="4"/>
  <c r="GR6" i="4"/>
  <c r="GS6" i="4"/>
  <c r="GT6" i="4"/>
  <c r="GU6" i="4"/>
  <c r="GV6" i="4"/>
  <c r="GW6" i="4"/>
  <c r="GX6" i="4"/>
  <c r="GY6" i="4"/>
  <c r="GZ6" i="4"/>
  <c r="HA6" i="4"/>
  <c r="HB6" i="4"/>
  <c r="HC6" i="4"/>
  <c r="HD6" i="4"/>
  <c r="HE6" i="4"/>
  <c r="HF6" i="4"/>
  <c r="HG6" i="4"/>
  <c r="HH6" i="4"/>
  <c r="HI6" i="4"/>
  <c r="HJ6" i="4"/>
  <c r="HK6" i="4"/>
  <c r="HL6" i="4"/>
  <c r="HM6" i="4"/>
  <c r="HN6" i="4"/>
  <c r="HO6" i="4"/>
  <c r="HP6" i="4"/>
  <c r="HQ6" i="4"/>
  <c r="HR6" i="4"/>
  <c r="HS6" i="4"/>
  <c r="HT6" i="4"/>
  <c r="HU6" i="4"/>
  <c r="HV6" i="4"/>
  <c r="HW6" i="4"/>
  <c r="HX6" i="4"/>
  <c r="HY6" i="4"/>
  <c r="HZ6" i="4"/>
  <c r="IA6" i="4"/>
  <c r="IB6" i="4"/>
  <c r="IC6" i="4"/>
  <c r="ID6" i="4"/>
  <c r="IE6" i="4"/>
  <c r="IF6" i="4"/>
  <c r="IG6" i="4"/>
  <c r="IH6" i="4"/>
  <c r="II6" i="4"/>
  <c r="IJ6" i="4"/>
  <c r="IK6" i="4"/>
  <c r="IL6" i="4"/>
  <c r="IM6" i="4"/>
  <c r="IN6" i="4"/>
  <c r="IO6" i="4"/>
  <c r="IP6" i="4"/>
  <c r="IQ6" i="4"/>
  <c r="IR6" i="4"/>
  <c r="IS6" i="4"/>
  <c r="IT6" i="4"/>
  <c r="IU6" i="4"/>
  <c r="IV6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IU5" i="4"/>
  <c r="IV5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EP4" i="4"/>
  <c r="EQ4" i="4"/>
  <c r="ER4" i="4"/>
  <c r="ES4" i="4"/>
  <c r="ET4" i="4"/>
  <c r="EU4" i="4"/>
  <c r="EV4" i="4"/>
  <c r="EW4" i="4"/>
  <c r="EX4" i="4"/>
  <c r="EY4" i="4"/>
  <c r="EZ4" i="4"/>
  <c r="FA4" i="4"/>
  <c r="FB4" i="4"/>
  <c r="FC4" i="4"/>
  <c r="FD4" i="4"/>
  <c r="FE4" i="4"/>
  <c r="FF4" i="4"/>
  <c r="FG4" i="4"/>
  <c r="FH4" i="4"/>
  <c r="FI4" i="4"/>
  <c r="FJ4" i="4"/>
  <c r="FK4" i="4"/>
  <c r="FL4" i="4"/>
  <c r="FM4" i="4"/>
  <c r="FN4" i="4"/>
  <c r="FO4" i="4"/>
  <c r="FP4" i="4"/>
  <c r="FQ4" i="4"/>
  <c r="FR4" i="4"/>
  <c r="FS4" i="4"/>
  <c r="FT4" i="4"/>
  <c r="FU4" i="4"/>
  <c r="FV4" i="4"/>
  <c r="FW4" i="4"/>
  <c r="FX4" i="4"/>
  <c r="FY4" i="4"/>
  <c r="FZ4" i="4"/>
  <c r="GA4" i="4"/>
  <c r="GB4" i="4"/>
  <c r="GC4" i="4"/>
  <c r="GD4" i="4"/>
  <c r="GE4" i="4"/>
  <c r="GF4" i="4"/>
  <c r="GG4" i="4"/>
  <c r="GH4" i="4"/>
  <c r="GI4" i="4"/>
  <c r="GJ4" i="4"/>
  <c r="GK4" i="4"/>
  <c r="GL4" i="4"/>
  <c r="GM4" i="4"/>
  <c r="GN4" i="4"/>
  <c r="GO4" i="4"/>
  <c r="GP4" i="4"/>
  <c r="GQ4" i="4"/>
  <c r="GR4" i="4"/>
  <c r="GS4" i="4"/>
  <c r="GT4" i="4"/>
  <c r="GU4" i="4"/>
  <c r="GV4" i="4"/>
  <c r="GW4" i="4"/>
  <c r="GX4" i="4"/>
  <c r="GY4" i="4"/>
  <c r="GZ4" i="4"/>
  <c r="HA4" i="4"/>
  <c r="HB4" i="4"/>
  <c r="HC4" i="4"/>
  <c r="HD4" i="4"/>
  <c r="HE4" i="4"/>
  <c r="HF4" i="4"/>
  <c r="HG4" i="4"/>
  <c r="HH4" i="4"/>
  <c r="HI4" i="4"/>
  <c r="HJ4" i="4"/>
  <c r="HK4" i="4"/>
  <c r="HL4" i="4"/>
  <c r="HM4" i="4"/>
  <c r="HN4" i="4"/>
  <c r="HO4" i="4"/>
  <c r="HP4" i="4"/>
  <c r="HQ4" i="4"/>
  <c r="HR4" i="4"/>
  <c r="HS4" i="4"/>
  <c r="HT4" i="4"/>
  <c r="HU4" i="4"/>
  <c r="HV4" i="4"/>
  <c r="HW4" i="4"/>
  <c r="HX4" i="4"/>
  <c r="HY4" i="4"/>
  <c r="HZ4" i="4"/>
  <c r="IA4" i="4"/>
  <c r="IB4" i="4"/>
  <c r="IC4" i="4"/>
  <c r="ID4" i="4"/>
  <c r="IE4" i="4"/>
  <c r="IF4" i="4"/>
  <c r="IG4" i="4"/>
  <c r="IH4" i="4"/>
  <c r="II4" i="4"/>
  <c r="IJ4" i="4"/>
  <c r="IK4" i="4"/>
  <c r="IL4" i="4"/>
  <c r="IM4" i="4"/>
  <c r="IN4" i="4"/>
  <c r="IO4" i="4"/>
  <c r="IP4" i="4"/>
  <c r="IQ4" i="4"/>
  <c r="IR4" i="4"/>
  <c r="IS4" i="4"/>
  <c r="IT4" i="4"/>
  <c r="IU4" i="4"/>
  <c r="IV4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A2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EP2" i="4"/>
  <c r="EQ2" i="4"/>
  <c r="ER2" i="4"/>
  <c r="ES2" i="4"/>
  <c r="ET2" i="4"/>
  <c r="EU2" i="4"/>
  <c r="EV2" i="4"/>
  <c r="EW2" i="4"/>
  <c r="EX2" i="4"/>
  <c r="EY2" i="4"/>
  <c r="EZ2" i="4"/>
  <c r="FA2" i="4"/>
  <c r="FB2" i="4"/>
  <c r="FC2" i="4"/>
  <c r="FD2" i="4"/>
  <c r="FE2" i="4"/>
  <c r="FF2" i="4"/>
  <c r="FG2" i="4"/>
  <c r="FH2" i="4"/>
  <c r="FI2" i="4"/>
  <c r="FJ2" i="4"/>
  <c r="FK2" i="4"/>
  <c r="FL2" i="4"/>
  <c r="FM2" i="4"/>
  <c r="FN2" i="4"/>
  <c r="FO2" i="4"/>
  <c r="FP2" i="4"/>
  <c r="FQ2" i="4"/>
  <c r="FR2" i="4"/>
  <c r="FS2" i="4"/>
  <c r="FT2" i="4"/>
  <c r="FU2" i="4"/>
  <c r="FV2" i="4"/>
  <c r="FW2" i="4"/>
  <c r="FX2" i="4"/>
  <c r="FY2" i="4"/>
  <c r="FZ2" i="4"/>
  <c r="GA2" i="4"/>
  <c r="GB2" i="4"/>
  <c r="GC2" i="4"/>
  <c r="GD2" i="4"/>
  <c r="GE2" i="4"/>
  <c r="GF2" i="4"/>
  <c r="GG2" i="4"/>
  <c r="GH2" i="4"/>
  <c r="GI2" i="4"/>
  <c r="GJ2" i="4"/>
  <c r="GK2" i="4"/>
  <c r="GL2" i="4"/>
  <c r="GM2" i="4"/>
  <c r="GN2" i="4"/>
  <c r="GO2" i="4"/>
  <c r="GP2" i="4"/>
  <c r="GQ2" i="4"/>
  <c r="GR2" i="4"/>
  <c r="GS2" i="4"/>
  <c r="GT2" i="4"/>
  <c r="GU2" i="4"/>
  <c r="GV2" i="4"/>
  <c r="GW2" i="4"/>
  <c r="GX2" i="4"/>
  <c r="GY2" i="4"/>
  <c r="GZ2" i="4"/>
  <c r="HA2" i="4"/>
  <c r="HB2" i="4"/>
  <c r="HC2" i="4"/>
  <c r="HD2" i="4"/>
  <c r="HE2" i="4"/>
  <c r="HF2" i="4"/>
  <c r="HG2" i="4"/>
  <c r="HH2" i="4"/>
  <c r="HI2" i="4"/>
  <c r="HJ2" i="4"/>
  <c r="HK2" i="4"/>
  <c r="HL2" i="4"/>
  <c r="HM2" i="4"/>
  <c r="HN2" i="4"/>
  <c r="HO2" i="4"/>
  <c r="HP2" i="4"/>
  <c r="HQ2" i="4"/>
  <c r="HR2" i="4"/>
  <c r="HS2" i="4"/>
  <c r="HT2" i="4"/>
  <c r="HU2" i="4"/>
  <c r="HV2" i="4"/>
  <c r="HW2" i="4"/>
  <c r="HX2" i="4"/>
  <c r="HY2" i="4"/>
  <c r="HZ2" i="4"/>
  <c r="IA2" i="4"/>
  <c r="IB2" i="4"/>
  <c r="IC2" i="4"/>
  <c r="ID2" i="4"/>
  <c r="IE2" i="4"/>
  <c r="IF2" i="4"/>
  <c r="IG2" i="4"/>
  <c r="IH2" i="4"/>
  <c r="II2" i="4"/>
  <c r="IJ2" i="4"/>
  <c r="IK2" i="4"/>
  <c r="IL2" i="4"/>
  <c r="IM2" i="4"/>
  <c r="IN2" i="4"/>
  <c r="IO2" i="4"/>
  <c r="IP2" i="4"/>
  <c r="IQ2" i="4"/>
  <c r="IR2" i="4"/>
  <c r="IS2" i="4"/>
  <c r="IT2" i="4"/>
  <c r="IU2" i="4"/>
  <c r="IV2" i="4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A1" i="4"/>
  <c r="FB1" i="4"/>
  <c r="FC1" i="4"/>
  <c r="FD1" i="4"/>
  <c r="FE1" i="4"/>
  <c r="FF1" i="4"/>
  <c r="FG1" i="4"/>
  <c r="FH1" i="4"/>
  <c r="FI1" i="4"/>
  <c r="FJ1" i="4"/>
  <c r="FK1" i="4"/>
  <c r="FL1" i="4"/>
  <c r="FM1" i="4"/>
  <c r="FN1" i="4"/>
  <c r="FO1" i="4"/>
  <c r="FP1" i="4"/>
  <c r="FQ1" i="4"/>
  <c r="FR1" i="4"/>
  <c r="FS1" i="4"/>
  <c r="FT1" i="4"/>
  <c r="FU1" i="4"/>
  <c r="FV1" i="4"/>
  <c r="FW1" i="4"/>
  <c r="FX1" i="4"/>
  <c r="FY1" i="4"/>
  <c r="FZ1" i="4"/>
  <c r="GA1" i="4"/>
  <c r="GB1" i="4"/>
  <c r="GC1" i="4"/>
  <c r="GD1" i="4"/>
  <c r="GE1" i="4"/>
  <c r="GF1" i="4"/>
  <c r="GG1" i="4"/>
  <c r="GH1" i="4"/>
  <c r="GI1" i="4"/>
  <c r="GJ1" i="4"/>
  <c r="GK1" i="4"/>
  <c r="GL1" i="4"/>
  <c r="GM1" i="4"/>
  <c r="GN1" i="4"/>
  <c r="GO1" i="4"/>
  <c r="GP1" i="4"/>
  <c r="GQ1" i="4"/>
  <c r="GR1" i="4"/>
  <c r="GS1" i="4"/>
  <c r="GT1" i="4"/>
  <c r="GU1" i="4"/>
  <c r="GV1" i="4"/>
  <c r="GW1" i="4"/>
  <c r="GX1" i="4"/>
  <c r="GY1" i="4"/>
  <c r="GZ1" i="4"/>
  <c r="HA1" i="4"/>
  <c r="HB1" i="4"/>
  <c r="HC1" i="4"/>
  <c r="HD1" i="4"/>
  <c r="HE1" i="4"/>
  <c r="HF1" i="4"/>
  <c r="HG1" i="4"/>
  <c r="HH1" i="4"/>
  <c r="HI1" i="4"/>
  <c r="HJ1" i="4"/>
  <c r="HK1" i="4"/>
  <c r="HL1" i="4"/>
  <c r="HM1" i="4"/>
  <c r="HN1" i="4"/>
  <c r="HO1" i="4"/>
  <c r="HP1" i="4"/>
  <c r="HQ1" i="4"/>
  <c r="HR1" i="4"/>
  <c r="HS1" i="4"/>
  <c r="HT1" i="4"/>
  <c r="HU1" i="4"/>
  <c r="HV1" i="4"/>
  <c r="HW1" i="4"/>
  <c r="HX1" i="4"/>
  <c r="HY1" i="4"/>
  <c r="HZ1" i="4"/>
  <c r="IA1" i="4"/>
  <c r="IB1" i="4"/>
  <c r="IC1" i="4"/>
  <c r="ID1" i="4"/>
  <c r="IE1" i="4"/>
  <c r="IF1" i="4"/>
  <c r="IG1" i="4"/>
  <c r="IH1" i="4"/>
  <c r="II1" i="4"/>
  <c r="IJ1" i="4"/>
  <c r="IK1" i="4"/>
  <c r="IL1" i="4"/>
  <c r="IM1" i="4"/>
  <c r="IN1" i="4"/>
  <c r="IO1" i="4"/>
  <c r="IP1" i="4"/>
  <c r="IQ1" i="4"/>
  <c r="IR1" i="4"/>
  <c r="IS1" i="4"/>
  <c r="IT1" i="4"/>
  <c r="IU1" i="4"/>
  <c r="IV1" i="4"/>
</calcChain>
</file>

<file path=xl/sharedStrings.xml><?xml version="1.0" encoding="utf-8"?>
<sst xmlns="http://schemas.openxmlformats.org/spreadsheetml/2006/main" count="1413" uniqueCount="477">
  <si>
    <t>4 Støkiometri</t>
  </si>
  <si>
    <t>11 Vann</t>
  </si>
  <si>
    <t>G1 Drue i Farris.</t>
  </si>
  <si>
    <t>G2 Kromatografering av tusj</t>
  </si>
  <si>
    <t>G3 Skumbombe</t>
  </si>
  <si>
    <t>G4 Destillasjon av cola</t>
  </si>
  <si>
    <t>G5 Å skille stoffer</t>
  </si>
  <si>
    <t>1 Atomer, molekyler og ioner</t>
  </si>
  <si>
    <t>2 Kjemiske bindinger.</t>
  </si>
  <si>
    <t>3 Kjemiske reaksjoner.</t>
  </si>
  <si>
    <t>5 Termokjemi</t>
  </si>
  <si>
    <t>6 Kjemisk likevekt</t>
  </si>
  <si>
    <t>7 Syrer og baser</t>
  </si>
  <si>
    <t>8 Løsninger og løselighet</t>
  </si>
  <si>
    <t>9 Atomets elektronstruktur - fra elektronskall til orbitaler</t>
  </si>
  <si>
    <t>10 Organisk kjemi.</t>
  </si>
  <si>
    <t>Farris</t>
  </si>
  <si>
    <t>Drue</t>
  </si>
  <si>
    <t>Tusj vannløselig sett</t>
  </si>
  <si>
    <t>Kaffefilter</t>
  </si>
  <si>
    <t>Kritt</t>
  </si>
  <si>
    <t>Zalo</t>
  </si>
  <si>
    <t xml:space="preserve"> </t>
  </si>
  <si>
    <t>Gassbrenner</t>
  </si>
  <si>
    <t>Keramisk trådnett</t>
  </si>
  <si>
    <t>Cola</t>
  </si>
  <si>
    <t>G1.1 Vi studerer ulike grunnstoffer</t>
  </si>
  <si>
    <t>Ø1.1 Oksygen</t>
  </si>
  <si>
    <t>Ø1.2 Hydrogen</t>
  </si>
  <si>
    <t>G2.1 Salter</t>
  </si>
  <si>
    <t>G2.2 Krystaller</t>
  </si>
  <si>
    <t>G2.3 Vannmolekylet er en dipol</t>
  </si>
  <si>
    <t>G2.4 Molekylmodeller</t>
  </si>
  <si>
    <t>Ullklut</t>
  </si>
  <si>
    <t>Målesylinder 100 ml</t>
  </si>
  <si>
    <t>Ø2.3 Slime</t>
  </si>
  <si>
    <t>Ø2.2 Halogenene: Jod</t>
  </si>
  <si>
    <t>G3.1 Kobber og syrer</t>
  </si>
  <si>
    <t>G3.2 Reaksjonstyper: Felling</t>
  </si>
  <si>
    <t>G3.3 Indikator</t>
  </si>
  <si>
    <t>G3.4 Absorbenter i bleier</t>
  </si>
  <si>
    <t>Ø3.1 Komplekser</t>
  </si>
  <si>
    <t>Ø2.1 Periodiske egenskaper. Jordalkalimetaller</t>
  </si>
  <si>
    <t>Ø3.2 Fellingsreaksjoner</t>
  </si>
  <si>
    <t>G 4.3 Laging og fortynning av løsninger</t>
  </si>
  <si>
    <t>G 7.1 Bli kjent med to viktige indikatorer på en morsom måte</t>
  </si>
  <si>
    <t>G 7.3 Indikatorer</t>
  </si>
  <si>
    <t>G 9.1 Spektralanalyse</t>
  </si>
  <si>
    <t>G 10.1 Bygging av hydrokarboner</t>
  </si>
  <si>
    <t>G 10.2 Isomeri</t>
  </si>
  <si>
    <t>G 10.3 Isopor i propanon (aceton)</t>
  </si>
  <si>
    <t>Kjemi - et viktig fag i dagens verden</t>
  </si>
  <si>
    <t>G5.1 Eksoterme og endoterme reaksjoner</t>
  </si>
  <si>
    <t>G5.2 Reaksjonsfart og temperatur</t>
  </si>
  <si>
    <t>G5.3 Spalting av hydrogenperoksid</t>
  </si>
  <si>
    <t>Ø5.3 Reaksjonsfart 3 - avhengighet av temperaturen</t>
  </si>
  <si>
    <t>Ø5.4 Katalyse</t>
  </si>
  <si>
    <t>G6.1 Likevekt</t>
  </si>
  <si>
    <t>Ø6.2 Le Chateliers prinsipp 2</t>
  </si>
  <si>
    <t xml:space="preserve">Benzaldehyd </t>
  </si>
  <si>
    <t>2-metyl-1-propanol</t>
  </si>
  <si>
    <t>G 4.2 Molundersøkelser</t>
  </si>
  <si>
    <t>Ø5.1 Reaksjonsfart 1 - avhengighet av [I03-]</t>
  </si>
  <si>
    <t>Pelleusballong</t>
  </si>
  <si>
    <t>Målepipette, 25 mL</t>
  </si>
  <si>
    <t>Målesylinder 25 mL</t>
  </si>
  <si>
    <t>Ø5.2 Reaksjonsfart 2 - avhengighet av [H+]</t>
  </si>
  <si>
    <t>Målepipette, 10 mL</t>
  </si>
  <si>
    <t>Ø6.1 Le Chateliers prinsipp 1</t>
  </si>
  <si>
    <t>Koboltsulfat, CoS04</t>
  </si>
  <si>
    <t>Sugerør</t>
  </si>
  <si>
    <t>Natriumhydroksidløsning, NaOH, 0,001 mol</t>
  </si>
  <si>
    <t>G 7.2 Hvor sur er din favorittleskedrikk?</t>
  </si>
  <si>
    <t>Natriumdisulfitt</t>
  </si>
  <si>
    <t>Ø7.1 Sterke og svake syrer. pH-meteret</t>
  </si>
  <si>
    <t>Ø7.3 Analyse av eddiksyre fra kjøkkenet</t>
  </si>
  <si>
    <t>Ø7.4 Salter og oksider - sure og basiske egenskaper</t>
  </si>
  <si>
    <t>Ø8.1 Måling av løsningsentalpi</t>
  </si>
  <si>
    <t>Ø8.2 Identifikasjon av kobbersalter</t>
  </si>
  <si>
    <t>Ø8.3 Hva kan du finne ut om disse saltene?</t>
  </si>
  <si>
    <t>Ø8.4 Analyse av ukjente saltløsninger</t>
  </si>
  <si>
    <t>Ø8.5 Innstilling av 0,1 mol/L AgN03</t>
  </si>
  <si>
    <t>Ø8.6 Analyse av kloridinnholdet i sjøvann</t>
  </si>
  <si>
    <t>Ø9.1 Bestemmelse av ulike salter ved flammeprøver</t>
  </si>
  <si>
    <t>Ø7.2 Innstilling av 0,1 mol/L NaOH. Bestemmelse av renhetsgraden av fast NaOH</t>
  </si>
  <si>
    <t>Målekolbe 100 mL</t>
  </si>
  <si>
    <t>Målekolbe, 250 mL</t>
  </si>
  <si>
    <t>Målesylinder 50 mL</t>
  </si>
  <si>
    <t>Erlenmeyerkolbe VH 250 mL</t>
  </si>
  <si>
    <t>Sjøvann</t>
  </si>
  <si>
    <t>Na-Iampe</t>
  </si>
  <si>
    <t>Hg-lampe</t>
  </si>
  <si>
    <t>Ø10.1 Hydrokarboner</t>
  </si>
  <si>
    <t>Ø10.2 Løseligheten av organiske forbindelser i vann og i organiske løsemidler</t>
  </si>
  <si>
    <t>Ø10.3 Egenskaper til alkoholer</t>
  </si>
  <si>
    <t>Ø10.4 Analyse av organiske stoffer</t>
  </si>
  <si>
    <t>Ø10.5 Estere</t>
  </si>
  <si>
    <t>Ø11.1 Rensing av kalsium fra hardt vann</t>
  </si>
  <si>
    <t>Ø11.2 Rensing av humusholdig vann. Måling av fargetall</t>
  </si>
  <si>
    <t>Ø11.3 Analyse av alkalinitet i vann</t>
  </si>
  <si>
    <t>Ø11.4 Framstilling av et anionisk tensid</t>
  </si>
  <si>
    <t>Ø11.5 Optiske hvitemidler</t>
  </si>
  <si>
    <t>Forbrenningsskje</t>
  </si>
  <si>
    <t>G 11.1 Flyter is i solsikkeolje?</t>
  </si>
  <si>
    <t>solsikkeolje</t>
  </si>
  <si>
    <t>Såpestykke</t>
  </si>
  <si>
    <t>Buffer NH4Cl/NH3, pH 9,5</t>
  </si>
  <si>
    <t xml:space="preserve">Målekolbe 50 ml </t>
  </si>
  <si>
    <t>Vaskepulver med optiske hvitemidler</t>
  </si>
  <si>
    <t>Vaskepulver uten optiske hvitemidler</t>
  </si>
  <si>
    <t>Summarisk liste</t>
  </si>
  <si>
    <t>Gassboks</t>
  </si>
  <si>
    <t>067610</t>
  </si>
  <si>
    <t>Eppendorfrør 1,5ml  500stk</t>
  </si>
  <si>
    <t>877300-4</t>
  </si>
  <si>
    <t>1-pentanol (n)   1000 ml</t>
  </si>
  <si>
    <t>880000-4</t>
  </si>
  <si>
    <t>1-propanol 1000 ml</t>
  </si>
  <si>
    <t>016010</t>
  </si>
  <si>
    <t>Urglass  8 cm, sodaglass</t>
  </si>
  <si>
    <t>800038</t>
  </si>
  <si>
    <t>Propanon (aceton) 1000 ml</t>
  </si>
  <si>
    <t>118530</t>
  </si>
  <si>
    <t>Aluminium, folie 20 m</t>
  </si>
  <si>
    <t>803000-4</t>
  </si>
  <si>
    <t>Ammoniakk konsentrert 1000ml</t>
  </si>
  <si>
    <t>803600-4</t>
  </si>
  <si>
    <t>Ammoniumklorid  800 g</t>
  </si>
  <si>
    <t>807200-3</t>
  </si>
  <si>
    <t>Bariumklorid 2-hydrat 500 g</t>
  </si>
  <si>
    <t>007420</t>
  </si>
  <si>
    <t>Begerglass  100ml lf, borosilikat</t>
  </si>
  <si>
    <t>007430</t>
  </si>
  <si>
    <t>Begerglass  250ml lf, borosilikat</t>
  </si>
  <si>
    <t>007410</t>
  </si>
  <si>
    <t>Begerglass   50ml lf, borosilikat</t>
  </si>
  <si>
    <t>007540</t>
  </si>
  <si>
    <t>Begerglass  600ml lf, borosilikat</t>
  </si>
  <si>
    <t>808500-4</t>
  </si>
  <si>
    <t>Benzosyre 1000 g</t>
  </si>
  <si>
    <t>839108</t>
  </si>
  <si>
    <t>Lakmuspapir, blått 100 strips</t>
  </si>
  <si>
    <t>839208</t>
  </si>
  <si>
    <t>Lakmuspapir, rødt 100 strips</t>
  </si>
  <si>
    <t>809700-1</t>
  </si>
  <si>
    <t>Bly(II)nitrat 100 g</t>
  </si>
  <si>
    <t>809208</t>
  </si>
  <si>
    <t>Blyplate 150 x 150 x 2 mm</t>
  </si>
  <si>
    <t>810800-4</t>
  </si>
  <si>
    <t>Natriumtetraborat (boraks) 800 g</t>
  </si>
  <si>
    <t>839750-4</t>
  </si>
  <si>
    <t>880571</t>
  </si>
  <si>
    <t>Bufferløsning pH  7,0  500ml</t>
  </si>
  <si>
    <t>014860</t>
  </si>
  <si>
    <t>Byrette 50ml m/teflonhane</t>
  </si>
  <si>
    <t>113530</t>
  </si>
  <si>
    <t>Kobbertråd 1,0 mm, uisolert</t>
  </si>
  <si>
    <t>854510-4</t>
  </si>
  <si>
    <t>Kobber(II)sulfat 5-hydrat 1000 g</t>
  </si>
  <si>
    <t>035000</t>
  </si>
  <si>
    <t>Digeltang 200mm</t>
  </si>
  <si>
    <t>002300</t>
  </si>
  <si>
    <t>Muffe dobbel</t>
  </si>
  <si>
    <t>056630</t>
  </si>
  <si>
    <t>Dramsglass  6 dr,  21 ml med lokk</t>
  </si>
  <si>
    <t>545400</t>
  </si>
  <si>
    <t>Spektrofotometer V1100D</t>
  </si>
  <si>
    <t>007900</t>
  </si>
  <si>
    <t>Erlenmeyerkolbe  100ml sh, borosilikat</t>
  </si>
  <si>
    <t>007910</t>
  </si>
  <si>
    <t>Erlenmeyerkolbe  250ml sh, borosilikat</t>
  </si>
  <si>
    <t>827000-4</t>
  </si>
  <si>
    <t>Etanol denaturert 93% 1 liter</t>
  </si>
  <si>
    <t>840850-4</t>
  </si>
  <si>
    <t>Fenolftalein 1% 1000ml</t>
  </si>
  <si>
    <t>041550</t>
  </si>
  <si>
    <t>041715</t>
  </si>
  <si>
    <t>Filterpapir  90mm   100stk</t>
  </si>
  <si>
    <t>036010</t>
  </si>
  <si>
    <t>005600</t>
  </si>
  <si>
    <t xml:space="preserve">Fyrstikker pk </t>
  </si>
  <si>
    <t>005111</t>
  </si>
  <si>
    <t>015800</t>
  </si>
  <si>
    <t>Glasskål rund Ø 15 cm</t>
  </si>
  <si>
    <t>Glasstav 6 x 200 mm</t>
  </si>
  <si>
    <t>Jern(III)nitrat pa 250 g</t>
  </si>
  <si>
    <t>846000-2</t>
  </si>
  <si>
    <t>3-metyl-1-butanol Isoamylalkohol 200 ml</t>
  </si>
  <si>
    <t>841800-2</t>
  </si>
  <si>
    <t>Aluminium, granulert 500 g</t>
  </si>
  <si>
    <t>801520-3</t>
  </si>
  <si>
    <t>Aluminiumnitrat 1000 g</t>
  </si>
  <si>
    <t>802350-3</t>
  </si>
  <si>
    <t>Aluminiumsulfat 500 g</t>
  </si>
  <si>
    <t>Bromkresolgrønn 5 g</t>
  </si>
  <si>
    <t>017510</t>
  </si>
  <si>
    <t>Buchnertrakt Ø90 mm, porselen</t>
  </si>
  <si>
    <t>811800-4</t>
  </si>
  <si>
    <t>Butan-1-ol 1000 ml</t>
  </si>
  <si>
    <t>Butansyre 1000 ml</t>
  </si>
  <si>
    <t>814600-3</t>
  </si>
  <si>
    <t>Kalsiumnitrat 500 g</t>
  </si>
  <si>
    <t>Calmagit 10 g</t>
  </si>
  <si>
    <t>Kobberplate, 200 x 500 x 1 mm</t>
  </si>
  <si>
    <t>1-Dodekanol 250 ml</t>
  </si>
  <si>
    <t>832500-3</t>
  </si>
  <si>
    <t>Glukose(druesukker) 500 g</t>
  </si>
  <si>
    <t>Stav PVC</t>
  </si>
  <si>
    <t>023600</t>
  </si>
  <si>
    <t>Eksikator</t>
  </si>
  <si>
    <t>023610</t>
  </si>
  <si>
    <t>Eksikatorplate</t>
  </si>
  <si>
    <t>008100</t>
  </si>
  <si>
    <t>Etansyre (iseddik) 1000 ml</t>
  </si>
  <si>
    <t>825300-4</t>
  </si>
  <si>
    <t>013550</t>
  </si>
  <si>
    <t>013530</t>
  </si>
  <si>
    <t>Fullpipette 20 ml</t>
  </si>
  <si>
    <t>Fullpipette 5 ml</t>
  </si>
  <si>
    <t>839750-8</t>
  </si>
  <si>
    <t>Bromtymolblått BTB 0,04% i dråpeflaske 100 ml</t>
  </si>
  <si>
    <t>Bromtymolblått BTB, 0,04 % 1000 ml</t>
  </si>
  <si>
    <t>Glassrør H gassoppsamling pk a 10</t>
  </si>
  <si>
    <t>Glassrør F 20 cm pk a 10</t>
  </si>
  <si>
    <t>677020</t>
  </si>
  <si>
    <t>Glassrør C 90gr pk a 10</t>
  </si>
  <si>
    <t>677000</t>
  </si>
  <si>
    <t>Glyserol (1,2,3-propantriol) 86% 1000 ml</t>
  </si>
  <si>
    <t>832100-4</t>
  </si>
  <si>
    <t>040000</t>
  </si>
  <si>
    <t>Glassrørkutter</t>
  </si>
  <si>
    <t>Gummipropp 16/21 mm med 1 hull</t>
  </si>
  <si>
    <t>670147</t>
  </si>
  <si>
    <t>Gummimansjett sett,7 ulike</t>
  </si>
  <si>
    <t>017600</t>
  </si>
  <si>
    <t>Gummislange 5m, rød Ø4/6 mm</t>
  </si>
  <si>
    <t>Heksan (n) 1000 ml</t>
  </si>
  <si>
    <t>834055-4</t>
  </si>
  <si>
    <t>n-Heptan</t>
  </si>
  <si>
    <t>Hydrogenperoksid 35% 1000 ml</t>
  </si>
  <si>
    <t>835000-4</t>
  </si>
  <si>
    <t>Jern(III)klorid 1000 g</t>
  </si>
  <si>
    <t>Isoporbeger med lokk 25 stk</t>
  </si>
  <si>
    <t>678200</t>
  </si>
  <si>
    <t>Stålull u/såpe</t>
  </si>
  <si>
    <t>590400</t>
  </si>
  <si>
    <t>Jernbiter 100 g</t>
  </si>
  <si>
    <t>845300-1</t>
  </si>
  <si>
    <t>Jernfilspon 250 g</t>
  </si>
  <si>
    <t>841500-1</t>
  </si>
  <si>
    <t>Jod 100 g</t>
  </si>
  <si>
    <t>Ledning med bananstikk 50 cm rød</t>
  </si>
  <si>
    <t>105211</t>
  </si>
  <si>
    <t>Kaliumpermanganat 500 g</t>
  </si>
  <si>
    <t>851500-3</t>
  </si>
  <si>
    <t>Kaliumhydrogenftalat 100 g</t>
  </si>
  <si>
    <t>Kaliumhydroksid granulert 500 g</t>
  </si>
  <si>
    <t>850600-3</t>
  </si>
  <si>
    <t>Kaliumjodat 100 g</t>
  </si>
  <si>
    <t>851000-1</t>
  </si>
  <si>
    <t>Kaliumjodid, 100 g</t>
  </si>
  <si>
    <t>851100-1</t>
  </si>
  <si>
    <t>Kaliumklorid pa 500 g</t>
  </si>
  <si>
    <t>848700-3</t>
  </si>
  <si>
    <t>Kaliumnitrat 1000 g</t>
  </si>
  <si>
    <t>851400-4</t>
  </si>
  <si>
    <t>Kaliumkromat 100 g</t>
  </si>
  <si>
    <t>849000-1</t>
  </si>
  <si>
    <t>Kaliumtiocyanat 200 g</t>
  </si>
  <si>
    <t>852100-2</t>
  </si>
  <si>
    <t>Kalsium metall 100 g</t>
  </si>
  <si>
    <t>813200-1</t>
  </si>
  <si>
    <t>Kalsiumhydroksid, 1000 g</t>
  </si>
  <si>
    <t>814500-4</t>
  </si>
  <si>
    <t>848908</t>
  </si>
  <si>
    <t>841908</t>
  </si>
  <si>
    <t>808108</t>
  </si>
  <si>
    <t>813600-4</t>
  </si>
  <si>
    <t>Kalsiumkarbonat 1000 g</t>
  </si>
  <si>
    <t>814100-3</t>
  </si>
  <si>
    <t>Kalsiumklorid 2 H20 500 g</t>
  </si>
  <si>
    <t>Kalsiumoksid fint pulver 800 g</t>
  </si>
  <si>
    <t>814800-4</t>
  </si>
  <si>
    <t>033600</t>
  </si>
  <si>
    <t>850100-3</t>
  </si>
  <si>
    <t>Kaliumdihydrogenfosfat 500 g</t>
  </si>
  <si>
    <t>888800-3</t>
  </si>
  <si>
    <t>Kull, trekullbiter 500 g</t>
  </si>
  <si>
    <t>853100-2</t>
  </si>
  <si>
    <t>Kobberpulver 250 g</t>
  </si>
  <si>
    <t>Kobberbiter 250 g</t>
  </si>
  <si>
    <t>853000-2</t>
  </si>
  <si>
    <t>853600-2</t>
  </si>
  <si>
    <t>Kobber(II)karbonat basisk 250 g</t>
  </si>
  <si>
    <t>853500-3</t>
  </si>
  <si>
    <t>Kobber(II)klorid dihydrat 500 g</t>
  </si>
  <si>
    <t>854000-1</t>
  </si>
  <si>
    <t>Kobber(II)nitrat 100g</t>
  </si>
  <si>
    <t>819100-05</t>
  </si>
  <si>
    <t>Kobolt(II)klorid 50 g</t>
  </si>
  <si>
    <t>879200-2</t>
  </si>
  <si>
    <t>Kokestein pimpstein 250 g</t>
  </si>
  <si>
    <t>Krokodilleklemmer, pk a 100</t>
  </si>
  <si>
    <t>828418</t>
  </si>
  <si>
    <t>828438</t>
  </si>
  <si>
    <t>Konditorfarge, grønn 30 ml</t>
  </si>
  <si>
    <t>Konditorfarge, rød 38 ml</t>
  </si>
  <si>
    <t>Lampeholder E10</t>
  </si>
  <si>
    <t>859000-1</t>
  </si>
  <si>
    <t>Litiumklorid vannfri 100 g</t>
  </si>
  <si>
    <t>Håndspektroskop med skala</t>
  </si>
  <si>
    <t>Magnesiastaver 25 stk</t>
  </si>
  <si>
    <t>Magnesiumbånd, rull 25 g</t>
  </si>
  <si>
    <t>860600-3</t>
  </si>
  <si>
    <t>Magnesiumnitrat 500 g</t>
  </si>
  <si>
    <t>813800-3</t>
  </si>
  <si>
    <t>Marmor, granulert 500 g</t>
  </si>
  <si>
    <t>862200-4</t>
  </si>
  <si>
    <t>Metanol 1000 ml</t>
  </si>
  <si>
    <t>Metylenblått pulver 25 g</t>
  </si>
  <si>
    <t>862800-4</t>
  </si>
  <si>
    <t>Metylenblåttløsning 1000 ml 1%</t>
  </si>
  <si>
    <t>Molekylbyggesett Molymod 001</t>
  </si>
  <si>
    <t>030000</t>
  </si>
  <si>
    <t>Porselenmorter Ø 100 mm m/pistill</t>
  </si>
  <si>
    <t>010710</t>
  </si>
  <si>
    <t>010700</t>
  </si>
  <si>
    <t>010720</t>
  </si>
  <si>
    <t>014040</t>
  </si>
  <si>
    <t>014050</t>
  </si>
  <si>
    <t>011040</t>
  </si>
  <si>
    <t>011030</t>
  </si>
  <si>
    <t>011050</t>
  </si>
  <si>
    <t>866700-4</t>
  </si>
  <si>
    <t>Natriumklorid 1000 g</t>
  </si>
  <si>
    <t>869100-3</t>
  </si>
  <si>
    <t>Natriumnitrat 500 g</t>
  </si>
  <si>
    <t>870300-3</t>
  </si>
  <si>
    <t>Natriumsulfat 500 g</t>
  </si>
  <si>
    <t>866500-4</t>
  </si>
  <si>
    <t>Natriumkarbonat vannfri 800 g</t>
  </si>
  <si>
    <t>869350-3</t>
  </si>
  <si>
    <t>Natriumoksalat 500 g</t>
  </si>
  <si>
    <t>867800-4</t>
  </si>
  <si>
    <t>Natriumhydrogenkarbonat (natron) 1000 g</t>
  </si>
  <si>
    <t>865800-3</t>
  </si>
  <si>
    <t>Natriumacetat vannfri 500g</t>
  </si>
  <si>
    <t>869700-2</t>
  </si>
  <si>
    <t>Natriumfosfat 12-hydrat 250 g</t>
  </si>
  <si>
    <t>867300-4</t>
  </si>
  <si>
    <t>868300-4</t>
  </si>
  <si>
    <t>Natriumhydroksid 1000 g</t>
  </si>
  <si>
    <t>872200-2</t>
  </si>
  <si>
    <t>Nikkel(II)sulfat hydrat 250 g</t>
  </si>
  <si>
    <t>015200</t>
  </si>
  <si>
    <t>pH-checker</t>
  </si>
  <si>
    <t>Pinsett, spiss</t>
  </si>
  <si>
    <t>Dråpeteller Plast 1 ml 500 stk</t>
  </si>
  <si>
    <t>014490</t>
  </si>
  <si>
    <t>Stativfot, plate m stang</t>
  </si>
  <si>
    <t>879700-2</t>
  </si>
  <si>
    <t>Polyvinylalkohol 250 g</t>
  </si>
  <si>
    <t>Porselensdigel 38 ml</t>
  </si>
  <si>
    <t>Reaksjonsbrett 12 brønner porselen</t>
  </si>
  <si>
    <t>029600</t>
  </si>
  <si>
    <t>Reagensrørstativ tråd for 12 rør</t>
  </si>
  <si>
    <t>031060</t>
  </si>
  <si>
    <t>Saks, spiss/butt</t>
  </si>
  <si>
    <t>078700</t>
  </si>
  <si>
    <t>882600-3</t>
  </si>
  <si>
    <t>2-hydroksybenzosyre 500 g</t>
  </si>
  <si>
    <t>882800-4</t>
  </si>
  <si>
    <t>Salpetersyre kons, 1000 ml</t>
  </si>
  <si>
    <t>883000-4</t>
  </si>
  <si>
    <t>Saltsyre konsentrert 1000 ml</t>
  </si>
  <si>
    <t>883300-6</t>
  </si>
  <si>
    <t>Sand for sandbad 2,5 kg</t>
  </si>
  <si>
    <t>896100-3</t>
  </si>
  <si>
    <t>Sinkbiter 500 g</t>
  </si>
  <si>
    <t>896600-3</t>
  </si>
  <si>
    <t>Sinknitrat 6-hydrat 500g</t>
  </si>
  <si>
    <t>Spatel 15 cm</t>
  </si>
  <si>
    <t>049600</t>
  </si>
  <si>
    <t>Spenningskilde 12V AC/DC SF</t>
  </si>
  <si>
    <t>361050</t>
  </si>
  <si>
    <t>Trefingerklemme, 0 - 25 millimeter</t>
  </si>
  <si>
    <t>001805</t>
  </si>
  <si>
    <t>Stereolupe Primozoom</t>
  </si>
  <si>
    <t>Stivelse vannløselig 800 g</t>
  </si>
  <si>
    <t>884700-4</t>
  </si>
  <si>
    <t>Strontiumklorid, 100 g</t>
  </si>
  <si>
    <t>Stoppeklokke digital</t>
  </si>
  <si>
    <t>Ståltråd for modellbygging</t>
  </si>
  <si>
    <t>Sugekolbe 500 ml</t>
  </si>
  <si>
    <t>010030</t>
  </si>
  <si>
    <t>885300-4</t>
  </si>
  <si>
    <t>Svovelpulver 0,15 mm 500 g</t>
  </si>
  <si>
    <t>885500-4</t>
  </si>
  <si>
    <t>Svovelsyre konsentrert 1000 ml</t>
  </si>
  <si>
    <t>886000-1</t>
  </si>
  <si>
    <t>Sølvnitrat 100 g</t>
  </si>
  <si>
    <t>Termometer -20-110°C 1/1 sprit</t>
  </si>
  <si>
    <t>058225</t>
  </si>
  <si>
    <t>051500</t>
  </si>
  <si>
    <t>017030</t>
  </si>
  <si>
    <t>Trakt i glass 100mm</t>
  </si>
  <si>
    <t>004110</t>
  </si>
  <si>
    <t>Trefot 22 cm</t>
  </si>
  <si>
    <t>Porselenstriangel 50 mm</t>
  </si>
  <si>
    <t>439000</t>
  </si>
  <si>
    <t>287110</t>
  </si>
  <si>
    <t>UV-lampe økonomi</t>
  </si>
  <si>
    <t>069030</t>
  </si>
  <si>
    <t>Vannstrålepumpe messing forniklet</t>
  </si>
  <si>
    <t>Veieskip ps 80 ml blå 500 stk</t>
  </si>
  <si>
    <t>Kaliumheksakloroplatinat 1 g</t>
  </si>
  <si>
    <t>670151</t>
  </si>
  <si>
    <t>Gummipropp 31/38 mm med 1 hull</t>
  </si>
  <si>
    <t>Plast teskje 110mm 50 stk</t>
  </si>
  <si>
    <t>Stavmagneter 10 x 10 x 100 mm, pk a 2</t>
  </si>
  <si>
    <t>Glødelampe E10 6,0 V 0,5 A pk a 10</t>
  </si>
  <si>
    <t>Reagensrør 18 x 150 mm med krage</t>
  </si>
  <si>
    <t>050700</t>
  </si>
  <si>
    <t>883800</t>
  </si>
  <si>
    <t>Ø4.2 Å bestemme den empiriske formelen til et salt</t>
  </si>
  <si>
    <t>Ø4.1 Å bestemme krystallvann i et salt</t>
  </si>
  <si>
    <t>Ø4.3 Syntese av alun</t>
  </si>
  <si>
    <t>Ø4.4 Hvilket nitrat har du fått utlevert?</t>
  </si>
  <si>
    <t>2-hydroksybenzosyre (salisylsyre)500 g</t>
  </si>
  <si>
    <t>Det forutsettes at nødvendig sikkerhetsutstyr forefinnes på laboratoriet. Ta gjerne kontakt</t>
  </si>
  <si>
    <t xml:space="preserve">dersom du ønsker råd og veiledning. </t>
  </si>
  <si>
    <t>Husk beskyttelsesbriller.</t>
  </si>
  <si>
    <t xml:space="preserve">Vi kan utarbeide spesifisert tilbud etter angivelse av antall elever/grupper. </t>
  </si>
  <si>
    <t>Du kan også få tilsendt pr epost oppdatert prisliste for denne utstyrslisten.</t>
  </si>
  <si>
    <t>Første del av lista viser utstyr som behøves for de forskjellige forsøk. Bakerst finner du en summarisk liste.</t>
  </si>
  <si>
    <t>438020</t>
  </si>
  <si>
    <t xml:space="preserve">Aqua kjemi 1 </t>
  </si>
  <si>
    <t>På forlagets nettsider finner du gode tips etc til læreverket</t>
  </si>
  <si>
    <t>www.gyldendal.no/aqua</t>
  </si>
  <si>
    <t>001100</t>
  </si>
  <si>
    <t>005155</t>
  </si>
  <si>
    <t>027522</t>
  </si>
  <si>
    <t>Porselensskål Ø 94 mm</t>
  </si>
  <si>
    <t>037505</t>
  </si>
  <si>
    <t>Foldefilter 150mm   100stk</t>
  </si>
  <si>
    <t>064050</t>
  </si>
  <si>
    <t>Magnetrører Hanna</t>
  </si>
  <si>
    <t>Veieskip PS hvit 80 ml 500 stk</t>
  </si>
  <si>
    <t>097300</t>
  </si>
  <si>
    <t>Vekt 200 g/0,01 g Kern</t>
  </si>
  <si>
    <t>102950</t>
  </si>
  <si>
    <t>012530</t>
  </si>
  <si>
    <t>813408</t>
  </si>
  <si>
    <t>Kalsiumkarbid 500 g</t>
  </si>
  <si>
    <t>AAAAAH6vegs=</t>
  </si>
  <si>
    <t>AAAAAH6vegw=</t>
  </si>
  <si>
    <t>078655</t>
  </si>
  <si>
    <t>034000</t>
  </si>
  <si>
    <t>077061</t>
  </si>
  <si>
    <t>AAAAAE9/+QA=</t>
  </si>
  <si>
    <r>
      <t>Svovelpulver 0,15 mm</t>
    </r>
    <r>
      <rPr>
        <sz val="10"/>
        <color rgb="FFFF0000"/>
        <rFont val="Arial"/>
        <family val="2"/>
      </rPr>
      <t xml:space="preserve"> 500 </t>
    </r>
    <r>
      <rPr>
        <sz val="10"/>
        <color theme="1"/>
        <rFont val="Arial"/>
        <family val="2"/>
      </rPr>
      <t>g</t>
    </r>
  </si>
  <si>
    <r>
      <t>Sand for sandbad</t>
    </r>
    <r>
      <rPr>
        <sz val="10"/>
        <color rgb="FFFF0000"/>
        <rFont val="Arial"/>
        <family val="2"/>
      </rPr>
      <t xml:space="preserve"> 2,5</t>
    </r>
    <r>
      <rPr>
        <sz val="10"/>
        <color theme="1"/>
        <rFont val="Arial"/>
        <family val="2"/>
      </rPr>
      <t xml:space="preserve"> kg</t>
    </r>
  </si>
  <si>
    <t>ferdig</t>
  </si>
  <si>
    <t>064060</t>
  </si>
  <si>
    <t>865848</t>
  </si>
  <si>
    <t>Natriumfluorid 250 g</t>
  </si>
  <si>
    <t>Natriumflourid 250 g</t>
  </si>
  <si>
    <t>840550-8</t>
  </si>
  <si>
    <t>Metylrød i 100 ml dråpeflaske.</t>
  </si>
  <si>
    <t>Metylrød  100 ml i dråpeflaske</t>
  </si>
  <si>
    <t>840840-8</t>
  </si>
  <si>
    <t>Fenoftalein, 100 ml løsning på dråpeflaske.</t>
  </si>
  <si>
    <t>Fenoftalein, 100 ml på dråpeflaske.</t>
  </si>
  <si>
    <t>pH-checker PLUS</t>
  </si>
  <si>
    <t>pH-checker plus</t>
  </si>
  <si>
    <t>pH-checker pLus</t>
  </si>
  <si>
    <t>Kontakt oss på kundeservice@frederiksen.eu, eller ring 71 58 89 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</si>
</sst>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6" fillId="0" borderId="0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2" fillId="0" borderId="0" xfId="1" applyAlignment="1">
      <alignment vertical="center"/>
    </xf>
    <xf numFmtId="0" fontId="12" fillId="0" borderId="0" xfId="1"/>
    <xf numFmtId="49" fontId="7" fillId="0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2">
    <cellStyle name="Hyperkobling" xfId="1" builtinId="8"/>
    <cellStyle name="Normal" xfId="0" builtinId="0"/>
  </cellStyles>
  <dxfs count="28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0</xdr:rowOff>
    </xdr:from>
    <xdr:to>
      <xdr:col>1</xdr:col>
      <xdr:colOff>1479370</xdr:colOff>
      <xdr:row>14</xdr:row>
      <xdr:rowOff>28575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450795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ptkomet.no/produkter/_no_biologi_cellebiologi%252C_106/cellen/vnr/102950/" TargetMode="External"/><Relationship Id="rId3" Type="http://schemas.openxmlformats.org/officeDocument/2006/relationships/hyperlink" Target="http://www.kptkomet.no/produkter/_no_biologi_cellebiologi%252C_106/cellen/vnr/102950/" TargetMode="External"/><Relationship Id="rId7" Type="http://schemas.openxmlformats.org/officeDocument/2006/relationships/hyperlink" Target="http://www.kptkomet.no/produkter/_no_biologi_cellebiologi%252C_106/cellen/vnr/102950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kptkomet.no/produkter/_no_biologi_cellebiologi%252C_106/cellen/vnr/102950/" TargetMode="External"/><Relationship Id="rId1" Type="http://schemas.openxmlformats.org/officeDocument/2006/relationships/hyperlink" Target="http://www.gyldendal.no/aqua" TargetMode="External"/><Relationship Id="rId6" Type="http://schemas.openxmlformats.org/officeDocument/2006/relationships/hyperlink" Target="http://www.kptkomet.no/produkter/_no_biologi_cellebiologi%252C_106/cellen/vnr/102950/" TargetMode="External"/><Relationship Id="rId11" Type="http://schemas.openxmlformats.org/officeDocument/2006/relationships/customProperty" Target="../customProperty1.bin"/><Relationship Id="rId5" Type="http://schemas.openxmlformats.org/officeDocument/2006/relationships/hyperlink" Target="http://www.kptkomet.no/produkter/_no_biologi_cellebiologi%252C_106/cellen/vnr/102950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kptkomet.no/produkter/_no_biologi_cellebiologi%252C_106/cellen/vnr/102950/" TargetMode="External"/><Relationship Id="rId9" Type="http://schemas.openxmlformats.org/officeDocument/2006/relationships/hyperlink" Target="http://www.kptkomet.no/produkter/_no_biologi_cellebiologi%252C_106/cellen/vnr/10295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3:H1091"/>
  <sheetViews>
    <sheetView tabSelected="1" workbookViewId="0">
      <selection activeCell="B23" sqref="B23"/>
    </sheetView>
  </sheetViews>
  <sheetFormatPr baseColWidth="10" defaultRowHeight="15" customHeight="1" x14ac:dyDescent="0.25"/>
  <cols>
    <col min="1" max="1" width="8.7109375" style="22" bestFit="1" customWidth="1"/>
    <col min="2" max="2" width="44.140625" style="13" customWidth="1"/>
    <col min="3" max="3" width="21.28515625" style="34" customWidth="1"/>
    <col min="4" max="16384" width="11.42578125" style="3"/>
  </cols>
  <sheetData>
    <row r="3" spans="2:3" ht="15" customHeight="1" x14ac:dyDescent="0.25">
      <c r="B3" s="27" t="s">
        <v>436</v>
      </c>
      <c r="C3" s="33" t="s">
        <v>462</v>
      </c>
    </row>
    <row r="17" spans="1:3" ht="15" customHeight="1" x14ac:dyDescent="0.25">
      <c r="B17" s="19" t="s">
        <v>429</v>
      </c>
    </row>
    <row r="18" spans="1:3" ht="15" customHeight="1" x14ac:dyDescent="0.25">
      <c r="B18" s="19" t="s">
        <v>430</v>
      </c>
    </row>
    <row r="19" spans="1:3" ht="15" customHeight="1" x14ac:dyDescent="0.25">
      <c r="B19" s="19" t="s">
        <v>431</v>
      </c>
    </row>
    <row r="20" spans="1:3" ht="15" customHeight="1" x14ac:dyDescent="0.25">
      <c r="B20" s="19"/>
    </row>
    <row r="21" spans="1:3" ht="15" customHeight="1" x14ac:dyDescent="0.25">
      <c r="B21" s="19" t="s">
        <v>432</v>
      </c>
    </row>
    <row r="22" spans="1:3" ht="15" customHeight="1" x14ac:dyDescent="0.25">
      <c r="B22" s="19" t="s">
        <v>433</v>
      </c>
    </row>
    <row r="23" spans="1:3" ht="15" customHeight="1" x14ac:dyDescent="0.25">
      <c r="B23" s="19" t="s">
        <v>476</v>
      </c>
    </row>
    <row r="24" spans="1:3" ht="15" customHeight="1" x14ac:dyDescent="0.25">
      <c r="B24" s="19"/>
    </row>
    <row r="25" spans="1:3" ht="15" customHeight="1" x14ac:dyDescent="0.25">
      <c r="B25" s="19" t="s">
        <v>434</v>
      </c>
    </row>
    <row r="26" spans="1:3" ht="15" customHeight="1" x14ac:dyDescent="0.25">
      <c r="B26" s="19"/>
    </row>
    <row r="27" spans="1:3" ht="15" customHeight="1" x14ac:dyDescent="0.25">
      <c r="B27" s="19" t="s">
        <v>437</v>
      </c>
    </row>
    <row r="28" spans="1:3" ht="15" customHeight="1" x14ac:dyDescent="0.25">
      <c r="B28" s="30" t="s">
        <v>438</v>
      </c>
    </row>
    <row r="31" spans="1:3" s="1" customFormat="1" ht="15" customHeight="1" x14ac:dyDescent="0.3">
      <c r="A31" s="23"/>
      <c r="B31" s="25" t="s">
        <v>51</v>
      </c>
      <c r="C31" s="34"/>
    </row>
    <row r="33" spans="1:3" s="2" customFormat="1" ht="15" customHeight="1" x14ac:dyDescent="0.25">
      <c r="A33" s="23"/>
      <c r="B33" s="25" t="s">
        <v>2</v>
      </c>
      <c r="C33" s="34"/>
    </row>
    <row r="34" spans="1:3" s="2" customFormat="1" ht="15" customHeight="1" x14ac:dyDescent="0.25">
      <c r="A34" s="23"/>
      <c r="B34" s="12"/>
      <c r="C34" s="34"/>
    </row>
    <row r="35" spans="1:3" ht="15" customHeight="1" x14ac:dyDescent="0.25">
      <c r="A35" s="5" t="s">
        <v>130</v>
      </c>
      <c r="B35" s="17" t="s">
        <v>131</v>
      </c>
    </row>
    <row r="36" spans="1:3" s="8" customFormat="1" ht="15" customHeight="1" x14ac:dyDescent="0.25">
      <c r="A36" s="22"/>
      <c r="B36" s="19" t="s">
        <v>16</v>
      </c>
      <c r="C36" s="34"/>
    </row>
    <row r="37" spans="1:3" s="8" customFormat="1" ht="15" customHeight="1" x14ac:dyDescent="0.25">
      <c r="A37" s="22"/>
      <c r="B37" s="19" t="s">
        <v>17</v>
      </c>
      <c r="C37" s="34"/>
    </row>
    <row r="39" spans="1:3" s="26" customFormat="1" ht="15" customHeight="1" x14ac:dyDescent="0.25">
      <c r="A39" s="23"/>
      <c r="B39" s="25" t="s">
        <v>3</v>
      </c>
      <c r="C39" s="34"/>
    </row>
    <row r="40" spans="1:3" s="2" customFormat="1" ht="15" customHeight="1" x14ac:dyDescent="0.25">
      <c r="A40" s="23"/>
      <c r="B40" s="12"/>
      <c r="C40" s="34"/>
    </row>
    <row r="41" spans="1:3" ht="15" customHeight="1" x14ac:dyDescent="0.25">
      <c r="A41" s="5" t="s">
        <v>130</v>
      </c>
      <c r="B41" s="17" t="s">
        <v>131</v>
      </c>
    </row>
    <row r="42" spans="1:3" s="8" customFormat="1" ht="15" customHeight="1" x14ac:dyDescent="0.25">
      <c r="A42" s="22"/>
      <c r="B42" s="19" t="s">
        <v>18</v>
      </c>
      <c r="C42" s="34"/>
    </row>
    <row r="43" spans="1:3" s="8" customFormat="1" ht="15" customHeight="1" x14ac:dyDescent="0.25">
      <c r="A43" s="22"/>
      <c r="B43" s="19" t="s">
        <v>19</v>
      </c>
      <c r="C43" s="34"/>
    </row>
    <row r="44" spans="1:3" s="8" customFormat="1" ht="15" customHeight="1" x14ac:dyDescent="0.25">
      <c r="A44" s="22"/>
      <c r="B44" s="19" t="s">
        <v>20</v>
      </c>
      <c r="C44" s="34"/>
    </row>
    <row r="46" spans="1:3" s="26" customFormat="1" ht="15" customHeight="1" x14ac:dyDescent="0.25">
      <c r="A46" s="23"/>
      <c r="B46" s="25" t="s">
        <v>4</v>
      </c>
      <c r="C46" s="34"/>
    </row>
    <row r="47" spans="1:3" s="2" customFormat="1" ht="15" customHeight="1" x14ac:dyDescent="0.25">
      <c r="A47" s="23"/>
      <c r="B47" s="12"/>
      <c r="C47" s="34"/>
    </row>
    <row r="48" spans="1:3" ht="15" customHeight="1" x14ac:dyDescent="0.25">
      <c r="A48" s="5" t="s">
        <v>130</v>
      </c>
      <c r="B48" s="17" t="s">
        <v>131</v>
      </c>
    </row>
    <row r="49" spans="1:3" ht="15" customHeight="1" x14ac:dyDescent="0.25">
      <c r="A49" s="22" t="s">
        <v>214</v>
      </c>
      <c r="B49" s="10" t="s">
        <v>213</v>
      </c>
    </row>
    <row r="50" spans="1:3" ht="15" customHeight="1" x14ac:dyDescent="0.25">
      <c r="A50" s="24" t="s">
        <v>343</v>
      </c>
      <c r="B50" s="10" t="s">
        <v>344</v>
      </c>
    </row>
    <row r="51" spans="1:3" s="8" customFormat="1" ht="15" customHeight="1" x14ac:dyDescent="0.25">
      <c r="A51" s="22"/>
      <c r="B51" s="19" t="s">
        <v>21</v>
      </c>
      <c r="C51" s="34"/>
    </row>
    <row r="52" spans="1:3" ht="15" customHeight="1" x14ac:dyDescent="0.25">
      <c r="B52" s="12"/>
    </row>
    <row r="53" spans="1:3" s="26" customFormat="1" ht="15" customHeight="1" x14ac:dyDescent="0.25">
      <c r="A53" s="23"/>
      <c r="B53" s="25" t="s">
        <v>5</v>
      </c>
      <c r="C53" s="34"/>
    </row>
    <row r="55" spans="1:3" ht="15" customHeight="1" x14ac:dyDescent="0.25">
      <c r="A55" s="5" t="s">
        <v>169</v>
      </c>
      <c r="B55" s="17" t="s">
        <v>170</v>
      </c>
    </row>
    <row r="56" spans="1:3" s="8" customFormat="1" ht="15" customHeight="1" x14ac:dyDescent="0.25">
      <c r="A56" s="22" t="s">
        <v>406</v>
      </c>
      <c r="B56" s="10" t="s">
        <v>407</v>
      </c>
      <c r="C56" s="34"/>
    </row>
    <row r="57" spans="1:3" ht="15" customHeight="1" x14ac:dyDescent="0.25">
      <c r="A57" s="22" t="s">
        <v>440</v>
      </c>
      <c r="B57" s="19" t="s">
        <v>111</v>
      </c>
    </row>
    <row r="58" spans="1:3" ht="15" customHeight="1" x14ac:dyDescent="0.25">
      <c r="A58" s="5" t="s">
        <v>181</v>
      </c>
      <c r="B58" s="17" t="s">
        <v>23</v>
      </c>
    </row>
    <row r="59" spans="1:3" ht="15" customHeight="1" x14ac:dyDescent="0.25">
      <c r="A59" s="22" t="s">
        <v>283</v>
      </c>
      <c r="B59" s="19" t="s">
        <v>24</v>
      </c>
    </row>
    <row r="60" spans="1:3" ht="15" customHeight="1" x14ac:dyDescent="0.25">
      <c r="A60" s="22" t="s">
        <v>443</v>
      </c>
      <c r="B60" s="10" t="s">
        <v>235</v>
      </c>
    </row>
    <row r="61" spans="1:3" ht="15" customHeight="1" x14ac:dyDescent="0.25">
      <c r="A61" s="22" t="s">
        <v>416</v>
      </c>
      <c r="B61" s="10" t="s">
        <v>417</v>
      </c>
    </row>
    <row r="62" spans="1:3" ht="15" customHeight="1" x14ac:dyDescent="0.25">
      <c r="A62" s="22" t="s">
        <v>226</v>
      </c>
      <c r="B62" s="10" t="s">
        <v>225</v>
      </c>
    </row>
    <row r="63" spans="1:3" ht="15" customHeight="1" x14ac:dyDescent="0.25">
      <c r="A63" s="22" t="s">
        <v>224</v>
      </c>
      <c r="B63" s="10" t="s">
        <v>223</v>
      </c>
    </row>
    <row r="64" spans="1:3" s="8" customFormat="1" ht="15" customHeight="1" x14ac:dyDescent="0.25">
      <c r="A64" s="22"/>
      <c r="B64" s="19" t="s">
        <v>25</v>
      </c>
      <c r="C64" s="34"/>
    </row>
    <row r="66" spans="1:3" s="26" customFormat="1" ht="15" customHeight="1" x14ac:dyDescent="0.25">
      <c r="A66" s="23"/>
      <c r="B66" s="25" t="s">
        <v>6</v>
      </c>
      <c r="C66" s="34"/>
    </row>
    <row r="67" spans="1:3" s="2" customFormat="1" ht="15" customHeight="1" x14ac:dyDescent="0.25">
      <c r="A67" s="23"/>
      <c r="B67" s="12"/>
      <c r="C67" s="34"/>
    </row>
    <row r="68" spans="1:3" ht="15" customHeight="1" x14ac:dyDescent="0.25">
      <c r="A68" s="22" t="s">
        <v>333</v>
      </c>
      <c r="B68" s="16" t="s">
        <v>334</v>
      </c>
    </row>
    <row r="69" spans="1:3" ht="15" customHeight="1" x14ac:dyDescent="0.25">
      <c r="A69" s="22" t="s">
        <v>403</v>
      </c>
      <c r="B69" s="19" t="s">
        <v>418</v>
      </c>
    </row>
    <row r="70" spans="1:3" ht="15" customHeight="1" x14ac:dyDescent="0.25">
      <c r="A70" s="24">
        <v>330510</v>
      </c>
      <c r="B70" s="16" t="s">
        <v>419</v>
      </c>
    </row>
    <row r="71" spans="1:3" ht="15" customHeight="1" x14ac:dyDescent="0.25">
      <c r="A71" s="22">
        <v>337500</v>
      </c>
      <c r="B71" s="19" t="s">
        <v>248</v>
      </c>
    </row>
    <row r="72" spans="1:3" s="8" customFormat="1" ht="15" customHeight="1" x14ac:dyDescent="0.25">
      <c r="A72" s="24" t="s">
        <v>375</v>
      </c>
      <c r="B72" s="16" t="s">
        <v>376</v>
      </c>
      <c r="C72" s="34"/>
    </row>
    <row r="73" spans="1:3" s="2" customFormat="1" ht="15" customHeight="1" x14ac:dyDescent="0.25">
      <c r="A73" s="23"/>
      <c r="B73" s="12"/>
      <c r="C73" s="34"/>
    </row>
    <row r="74" spans="1:3" s="1" customFormat="1" ht="15" customHeight="1" x14ac:dyDescent="0.3">
      <c r="A74" s="23"/>
      <c r="B74" s="27" t="s">
        <v>7</v>
      </c>
      <c r="C74" s="34"/>
    </row>
    <row r="75" spans="1:3" s="1" customFormat="1" ht="15" customHeight="1" x14ac:dyDescent="0.3">
      <c r="A75" s="23"/>
      <c r="B75" s="11"/>
      <c r="C75" s="34"/>
    </row>
    <row r="76" spans="1:3" s="2" customFormat="1" ht="15" customHeight="1" x14ac:dyDescent="0.25">
      <c r="A76" s="23"/>
      <c r="B76" s="25" t="s">
        <v>26</v>
      </c>
      <c r="C76" s="34"/>
    </row>
    <row r="77" spans="1:3" s="1" customFormat="1" ht="15" customHeight="1" x14ac:dyDescent="0.3">
      <c r="A77" s="23"/>
      <c r="B77" s="11"/>
      <c r="C77" s="34"/>
    </row>
    <row r="78" spans="1:3" ht="15" customHeight="1" x14ac:dyDescent="0.25">
      <c r="A78" s="22" t="s">
        <v>252</v>
      </c>
      <c r="B78" s="10" t="s">
        <v>251</v>
      </c>
    </row>
    <row r="79" spans="1:3" ht="15" customHeight="1" x14ac:dyDescent="0.25">
      <c r="A79" s="22">
        <v>109000</v>
      </c>
      <c r="B79" s="10" t="s">
        <v>302</v>
      </c>
    </row>
    <row r="80" spans="1:3" ht="15" customHeight="1" x14ac:dyDescent="0.25">
      <c r="A80" s="6" t="s">
        <v>155</v>
      </c>
      <c r="B80" s="20" t="s">
        <v>156</v>
      </c>
    </row>
    <row r="81" spans="1:3" s="8" customFormat="1" ht="15" customHeight="1" x14ac:dyDescent="0.25">
      <c r="A81" s="22" t="s">
        <v>384</v>
      </c>
      <c r="B81" s="10" t="s">
        <v>383</v>
      </c>
      <c r="C81" s="34"/>
    </row>
    <row r="82" spans="1:3" ht="15" customHeight="1" x14ac:dyDescent="0.25">
      <c r="A82" s="22">
        <v>412015</v>
      </c>
      <c r="B82" s="10" t="s">
        <v>307</v>
      </c>
    </row>
    <row r="83" spans="1:3" ht="15" customHeight="1" x14ac:dyDescent="0.25">
      <c r="A83" s="24">
        <v>425035</v>
      </c>
      <c r="B83" s="10" t="s">
        <v>420</v>
      </c>
    </row>
    <row r="84" spans="1:3" s="8" customFormat="1" ht="15" customHeight="1" x14ac:dyDescent="0.25">
      <c r="A84" s="5" t="s">
        <v>146</v>
      </c>
      <c r="B84" s="20" t="s">
        <v>147</v>
      </c>
      <c r="C84" s="34"/>
    </row>
    <row r="85" spans="1:3" s="8" customFormat="1" ht="15" customHeight="1" x14ac:dyDescent="0.25">
      <c r="A85" s="22">
        <v>860101</v>
      </c>
      <c r="B85" s="10" t="s">
        <v>312</v>
      </c>
      <c r="C85" s="34"/>
    </row>
    <row r="86" spans="1:3" s="8" customFormat="1" ht="15" customHeight="1" x14ac:dyDescent="0.25">
      <c r="A86" s="24" t="s">
        <v>395</v>
      </c>
      <c r="B86" s="10" t="s">
        <v>396</v>
      </c>
      <c r="C86" s="34"/>
    </row>
    <row r="87" spans="1:3" s="8" customFormat="1" ht="15" customHeight="1" x14ac:dyDescent="0.25">
      <c r="A87" s="22" t="s">
        <v>286</v>
      </c>
      <c r="B87" s="10" t="s">
        <v>287</v>
      </c>
      <c r="C87" s="34"/>
    </row>
    <row r="89" spans="1:3" s="2" customFormat="1" ht="15" customHeight="1" x14ac:dyDescent="0.25">
      <c r="A89" s="23"/>
      <c r="B89" s="25" t="s">
        <v>27</v>
      </c>
      <c r="C89" s="34"/>
    </row>
    <row r="91" spans="1:3" s="8" customFormat="1" ht="15" customHeight="1" x14ac:dyDescent="0.25">
      <c r="A91" s="22" t="s">
        <v>439</v>
      </c>
      <c r="B91" s="10" t="s">
        <v>359</v>
      </c>
      <c r="C91" s="34"/>
    </row>
    <row r="92" spans="1:3" s="8" customFormat="1" ht="15" customHeight="1" x14ac:dyDescent="0.25">
      <c r="A92" s="22" t="s">
        <v>386</v>
      </c>
      <c r="B92" s="10" t="s">
        <v>385</v>
      </c>
      <c r="C92" s="34"/>
    </row>
    <row r="93" spans="1:3" s="8" customFormat="1" ht="15" customHeight="1" x14ac:dyDescent="0.25">
      <c r="A93" s="6" t="s">
        <v>161</v>
      </c>
      <c r="B93" s="18" t="s">
        <v>162</v>
      </c>
      <c r="C93" s="34"/>
    </row>
    <row r="94" spans="1:3" s="8" customFormat="1" ht="15" customHeight="1" x14ac:dyDescent="0.25">
      <c r="A94" s="22" t="s">
        <v>440</v>
      </c>
      <c r="B94" s="19" t="s">
        <v>111</v>
      </c>
      <c r="C94" s="34"/>
    </row>
    <row r="95" spans="1:3" s="8" customFormat="1" ht="15" customHeight="1" x14ac:dyDescent="0.25">
      <c r="A95" s="5" t="s">
        <v>181</v>
      </c>
      <c r="B95" s="17" t="s">
        <v>23</v>
      </c>
      <c r="C95" s="34"/>
    </row>
    <row r="96" spans="1:3" s="8" customFormat="1" ht="15" customHeight="1" x14ac:dyDescent="0.25">
      <c r="A96" s="6" t="s">
        <v>182</v>
      </c>
      <c r="B96" s="20" t="s">
        <v>183</v>
      </c>
      <c r="C96" s="34"/>
    </row>
    <row r="97" spans="1:3" ht="15" customHeight="1" x14ac:dyDescent="0.25">
      <c r="A97" s="22" t="s">
        <v>443</v>
      </c>
      <c r="B97" s="10" t="s">
        <v>235</v>
      </c>
    </row>
    <row r="98" spans="1:3" ht="15" customHeight="1" x14ac:dyDescent="0.25">
      <c r="A98" s="22" t="s">
        <v>245</v>
      </c>
      <c r="B98" s="10" t="s">
        <v>244</v>
      </c>
    </row>
    <row r="99" spans="1:3" ht="15" customHeight="1" x14ac:dyDescent="0.25">
      <c r="A99" s="22" t="s">
        <v>232</v>
      </c>
      <c r="B99" s="10" t="s">
        <v>231</v>
      </c>
    </row>
    <row r="100" spans="1:3" ht="15" customHeight="1" x14ac:dyDescent="0.25">
      <c r="A100" s="22" t="s">
        <v>226</v>
      </c>
      <c r="B100" s="10" t="s">
        <v>225</v>
      </c>
    </row>
    <row r="101" spans="1:3" s="8" customFormat="1" ht="15" customHeight="1" x14ac:dyDescent="0.25">
      <c r="A101" s="22" t="s">
        <v>224</v>
      </c>
      <c r="B101" s="10" t="s">
        <v>223</v>
      </c>
      <c r="C101" s="34"/>
    </row>
    <row r="102" spans="1:3" ht="15" customHeight="1" x14ac:dyDescent="0.25">
      <c r="A102" s="22">
        <v>677040</v>
      </c>
      <c r="B102" s="10" t="s">
        <v>222</v>
      </c>
    </row>
    <row r="103" spans="1:3" s="8" customFormat="1" ht="15" customHeight="1" x14ac:dyDescent="0.25">
      <c r="A103" s="22" t="s">
        <v>451</v>
      </c>
      <c r="B103" s="10" t="s">
        <v>421</v>
      </c>
      <c r="C103" s="34"/>
    </row>
    <row r="104" spans="1:3" s="8" customFormat="1" ht="15" customHeight="1" x14ac:dyDescent="0.25">
      <c r="A104" s="22" t="s">
        <v>254</v>
      </c>
      <c r="B104" s="10" t="s">
        <v>253</v>
      </c>
      <c r="C104" s="34"/>
    </row>
    <row r="106" spans="1:3" ht="15" customHeight="1" x14ac:dyDescent="0.25">
      <c r="B106" s="25" t="s">
        <v>28</v>
      </c>
    </row>
    <row r="108" spans="1:3" s="8" customFormat="1" ht="15" customHeight="1" x14ac:dyDescent="0.25">
      <c r="A108" s="22" t="s">
        <v>439</v>
      </c>
      <c r="B108" s="10" t="s">
        <v>359</v>
      </c>
      <c r="C108" s="34"/>
    </row>
    <row r="109" spans="1:3" s="8" customFormat="1" ht="15" customHeight="1" x14ac:dyDescent="0.25">
      <c r="A109" s="22" t="s">
        <v>386</v>
      </c>
      <c r="B109" s="10" t="s">
        <v>385</v>
      </c>
      <c r="C109" s="34"/>
    </row>
    <row r="110" spans="1:3" s="8" customFormat="1" ht="15" customHeight="1" x14ac:dyDescent="0.25">
      <c r="A110" s="6" t="s">
        <v>161</v>
      </c>
      <c r="B110" s="18" t="s">
        <v>162</v>
      </c>
      <c r="C110" s="34"/>
    </row>
    <row r="111" spans="1:3" s="8" customFormat="1" ht="15" customHeight="1" x14ac:dyDescent="0.25">
      <c r="A111" s="22" t="s">
        <v>443</v>
      </c>
      <c r="B111" s="10" t="s">
        <v>235</v>
      </c>
      <c r="C111" s="34"/>
    </row>
    <row r="112" spans="1:3" s="8" customFormat="1" ht="15" customHeight="1" x14ac:dyDescent="0.25">
      <c r="A112" s="22" t="s">
        <v>232</v>
      </c>
      <c r="B112" s="10" t="s">
        <v>231</v>
      </c>
      <c r="C112" s="34"/>
    </row>
    <row r="113" spans="1:3" s="8" customFormat="1" ht="15" customHeight="1" x14ac:dyDescent="0.25">
      <c r="A113" s="22" t="s">
        <v>224</v>
      </c>
      <c r="B113" s="10" t="s">
        <v>223</v>
      </c>
      <c r="C113" s="34"/>
    </row>
    <row r="114" spans="1:3" ht="15" customHeight="1" x14ac:dyDescent="0.25">
      <c r="A114" s="22">
        <v>677040</v>
      </c>
      <c r="B114" s="10" t="s">
        <v>222</v>
      </c>
    </row>
    <row r="115" spans="1:3" ht="15" customHeight="1" x14ac:dyDescent="0.25">
      <c r="A115" s="22" t="s">
        <v>451</v>
      </c>
      <c r="B115" s="10" t="s">
        <v>421</v>
      </c>
    </row>
    <row r="116" spans="1:3" s="8" customFormat="1" ht="15" customHeight="1" x14ac:dyDescent="0.25">
      <c r="A116" s="24" t="s">
        <v>373</v>
      </c>
      <c r="B116" s="10" t="s">
        <v>374</v>
      </c>
      <c r="C116" s="34"/>
    </row>
    <row r="117" spans="1:3" s="8" customFormat="1" ht="15" customHeight="1" x14ac:dyDescent="0.25">
      <c r="A117" s="24" t="s">
        <v>377</v>
      </c>
      <c r="B117" s="10" t="s">
        <v>378</v>
      </c>
      <c r="C117" s="34"/>
    </row>
    <row r="119" spans="1:3" s="29" customFormat="1" ht="15" customHeight="1" x14ac:dyDescent="0.25">
      <c r="A119" s="23"/>
      <c r="B119" s="27" t="s">
        <v>8</v>
      </c>
      <c r="C119" s="34"/>
    </row>
    <row r="120" spans="1:3" s="1" customFormat="1" ht="15" customHeight="1" x14ac:dyDescent="0.3">
      <c r="A120" s="23"/>
      <c r="B120" s="11"/>
      <c r="C120" s="34"/>
    </row>
    <row r="121" spans="1:3" s="26" customFormat="1" ht="15" customHeight="1" x14ac:dyDescent="0.25">
      <c r="A121" s="23"/>
      <c r="B121" s="25" t="s">
        <v>29</v>
      </c>
      <c r="C121" s="34"/>
    </row>
    <row r="122" spans="1:3" s="1" customFormat="1" ht="15" customHeight="1" x14ac:dyDescent="0.3">
      <c r="A122" s="23"/>
      <c r="B122" s="11"/>
      <c r="C122" s="34"/>
    </row>
    <row r="123" spans="1:3" s="8" customFormat="1" ht="15" customHeight="1" x14ac:dyDescent="0.25">
      <c r="A123" s="22" t="s">
        <v>323</v>
      </c>
      <c r="B123" s="10" t="s">
        <v>324</v>
      </c>
      <c r="C123" s="34"/>
    </row>
    <row r="124" spans="1:3" s="8" customFormat="1" ht="15" customHeight="1" x14ac:dyDescent="0.25">
      <c r="A124" s="5" t="s">
        <v>144</v>
      </c>
      <c r="B124" s="20" t="s">
        <v>145</v>
      </c>
      <c r="C124" s="34"/>
    </row>
    <row r="125" spans="1:3" s="8" customFormat="1" ht="15" customHeight="1" x14ac:dyDescent="0.25">
      <c r="A125" s="22" t="s">
        <v>261</v>
      </c>
      <c r="B125" s="10" t="s">
        <v>260</v>
      </c>
      <c r="C125" s="34"/>
    </row>
    <row r="126" spans="1:3" s="1" customFormat="1" ht="15" customHeight="1" x14ac:dyDescent="0.3">
      <c r="A126" s="23"/>
      <c r="B126" s="11"/>
      <c r="C126" s="34"/>
    </row>
    <row r="127" spans="1:3" s="26" customFormat="1" ht="15" customHeight="1" x14ac:dyDescent="0.25">
      <c r="A127" s="23"/>
      <c r="B127" s="25" t="s">
        <v>30</v>
      </c>
      <c r="C127" s="34"/>
    </row>
    <row r="128" spans="1:3" s="4" customFormat="1" ht="15" customHeight="1" x14ac:dyDescent="0.25">
      <c r="A128" s="23"/>
      <c r="B128" s="14"/>
      <c r="C128" s="34"/>
    </row>
    <row r="129" spans="1:3" s="8" customFormat="1" ht="15" customHeight="1" x14ac:dyDescent="0.25">
      <c r="A129" s="22" t="s">
        <v>458</v>
      </c>
      <c r="B129" s="10" t="s">
        <v>387</v>
      </c>
      <c r="C129" s="34"/>
    </row>
    <row r="130" spans="1:3" s="8" customFormat="1" ht="15" customHeight="1" x14ac:dyDescent="0.25">
      <c r="A130" s="24" t="s">
        <v>333</v>
      </c>
      <c r="B130" s="10" t="s">
        <v>334</v>
      </c>
      <c r="C130" s="34"/>
    </row>
    <row r="131" spans="1:3" s="8" customFormat="1" ht="15" customHeight="1" x14ac:dyDescent="0.25">
      <c r="A131" s="22" t="s">
        <v>254</v>
      </c>
      <c r="B131" s="10" t="s">
        <v>253</v>
      </c>
      <c r="C131" s="34"/>
    </row>
    <row r="132" spans="1:3" s="8" customFormat="1" ht="15" customHeight="1" x14ac:dyDescent="0.25">
      <c r="A132" s="5" t="s">
        <v>157</v>
      </c>
      <c r="B132" s="20" t="s">
        <v>158</v>
      </c>
      <c r="C132" s="34"/>
    </row>
    <row r="133" spans="1:3" s="8" customFormat="1" ht="15" customHeight="1" x14ac:dyDescent="0.25">
      <c r="A133" s="24" t="s">
        <v>352</v>
      </c>
      <c r="B133" s="10" t="s">
        <v>353</v>
      </c>
      <c r="C133" s="34"/>
    </row>
    <row r="134" spans="1:3" s="8" customFormat="1" ht="15" customHeight="1" x14ac:dyDescent="0.25">
      <c r="A134" s="22" t="s">
        <v>294</v>
      </c>
      <c r="B134" s="10" t="s">
        <v>295</v>
      </c>
      <c r="C134" s="34"/>
    </row>
    <row r="135" spans="1:3" s="4" customFormat="1" ht="15" customHeight="1" x14ac:dyDescent="0.25">
      <c r="A135" s="23"/>
      <c r="B135" s="14"/>
      <c r="C135" s="34"/>
    </row>
    <row r="136" spans="1:3" s="26" customFormat="1" ht="15" customHeight="1" x14ac:dyDescent="0.25">
      <c r="A136" s="23"/>
      <c r="B136" s="25" t="s">
        <v>31</v>
      </c>
      <c r="C136" s="34"/>
    </row>
    <row r="137" spans="1:3" s="4" customFormat="1" ht="15" customHeight="1" x14ac:dyDescent="0.25">
      <c r="A137" s="23"/>
      <c r="B137" s="14"/>
      <c r="C137" s="34"/>
    </row>
    <row r="138" spans="1:3" s="8" customFormat="1" ht="15" customHeight="1" x14ac:dyDescent="0.25">
      <c r="A138" s="22" t="s">
        <v>435</v>
      </c>
      <c r="B138" s="19" t="s">
        <v>207</v>
      </c>
      <c r="C138" s="34"/>
    </row>
    <row r="139" spans="1:3" s="8" customFormat="1" ht="15" customHeight="1" x14ac:dyDescent="0.25">
      <c r="A139" s="22" t="s">
        <v>409</v>
      </c>
      <c r="B139" s="19" t="s">
        <v>33</v>
      </c>
      <c r="C139" s="34"/>
    </row>
    <row r="140" spans="1:3" s="4" customFormat="1" ht="15" customHeight="1" x14ac:dyDescent="0.25">
      <c r="A140" s="23"/>
      <c r="B140" s="14"/>
      <c r="C140" s="34"/>
    </row>
    <row r="141" spans="1:3" s="26" customFormat="1" ht="15" customHeight="1" x14ac:dyDescent="0.25">
      <c r="A141" s="23"/>
      <c r="B141" s="25" t="s">
        <v>32</v>
      </c>
      <c r="C141" s="34"/>
    </row>
    <row r="142" spans="1:3" s="4" customFormat="1" ht="15" customHeight="1" x14ac:dyDescent="0.25">
      <c r="A142" s="23"/>
      <c r="B142" s="14"/>
      <c r="C142" s="34"/>
    </row>
    <row r="143" spans="1:3" s="8" customFormat="1" ht="15" customHeight="1" x14ac:dyDescent="0.25">
      <c r="A143" s="22">
        <v>526000</v>
      </c>
      <c r="B143" s="10" t="s">
        <v>322</v>
      </c>
      <c r="C143" s="34"/>
    </row>
    <row r="145" spans="1:3" s="26" customFormat="1" ht="15" customHeight="1" x14ac:dyDescent="0.25">
      <c r="A145" s="23"/>
      <c r="B145" s="25" t="s">
        <v>42</v>
      </c>
      <c r="C145" s="34"/>
    </row>
    <row r="147" spans="1:3" s="8" customFormat="1" ht="15" customHeight="1" x14ac:dyDescent="0.25">
      <c r="A147" s="5" t="s">
        <v>159</v>
      </c>
      <c r="B147" s="17" t="s">
        <v>160</v>
      </c>
      <c r="C147" s="34"/>
    </row>
    <row r="148" spans="1:3" s="8" customFormat="1" ht="15" customHeight="1" x14ac:dyDescent="0.25">
      <c r="A148" s="22" t="s">
        <v>441</v>
      </c>
      <c r="B148" s="10" t="s">
        <v>442</v>
      </c>
      <c r="C148" s="34"/>
    </row>
    <row r="149" spans="1:3" s="8" customFormat="1" ht="15" customHeight="1" x14ac:dyDescent="0.25">
      <c r="A149" s="7" t="s">
        <v>179</v>
      </c>
      <c r="B149" s="17" t="s">
        <v>180</v>
      </c>
      <c r="C149" s="34"/>
    </row>
    <row r="150" spans="1:3" s="8" customFormat="1" ht="15" customHeight="1" x14ac:dyDescent="0.25">
      <c r="A150" s="22" t="s">
        <v>451</v>
      </c>
      <c r="B150" s="10" t="s">
        <v>421</v>
      </c>
      <c r="C150" s="34"/>
    </row>
    <row r="151" spans="1:3" s="8" customFormat="1" ht="15" customHeight="1" x14ac:dyDescent="0.25">
      <c r="A151" s="22" t="s">
        <v>440</v>
      </c>
      <c r="B151" s="19" t="s">
        <v>111</v>
      </c>
      <c r="C151" s="34"/>
    </row>
    <row r="152" spans="1:3" s="8" customFormat="1" ht="15" customHeight="1" x14ac:dyDescent="0.25">
      <c r="A152" s="5" t="s">
        <v>181</v>
      </c>
      <c r="B152" s="17" t="s">
        <v>23</v>
      </c>
      <c r="C152" s="34"/>
    </row>
    <row r="153" spans="1:3" s="8" customFormat="1" ht="15" customHeight="1" x14ac:dyDescent="0.25">
      <c r="A153" s="22">
        <v>860101</v>
      </c>
      <c r="B153" s="10" t="s">
        <v>312</v>
      </c>
      <c r="C153" s="34"/>
    </row>
    <row r="154" spans="1:3" s="8" customFormat="1" ht="15" customHeight="1" x14ac:dyDescent="0.25">
      <c r="A154" s="22" t="s">
        <v>271</v>
      </c>
      <c r="B154" s="10" t="s">
        <v>270</v>
      </c>
      <c r="C154" s="34"/>
    </row>
    <row r="155" spans="1:3" s="8" customFormat="1" ht="15" customHeight="1" x14ac:dyDescent="0.25">
      <c r="A155" s="5" t="s">
        <v>126</v>
      </c>
      <c r="B155" s="17" t="s">
        <v>127</v>
      </c>
      <c r="C155" s="34"/>
    </row>
    <row r="156" spans="1:3" s="8" customFormat="1" ht="15" customHeight="1" x14ac:dyDescent="0.25">
      <c r="A156" s="5" t="s">
        <v>173</v>
      </c>
      <c r="B156" s="20" t="s">
        <v>174</v>
      </c>
      <c r="C156" s="34"/>
    </row>
    <row r="158" spans="1:3" s="26" customFormat="1" ht="15" customHeight="1" x14ac:dyDescent="0.25">
      <c r="A158" s="23"/>
      <c r="B158" s="25" t="s">
        <v>36</v>
      </c>
      <c r="C158" s="34"/>
    </row>
    <row r="160" spans="1:3" ht="15" customHeight="1" x14ac:dyDescent="0.25">
      <c r="A160" s="6" t="s">
        <v>167</v>
      </c>
      <c r="B160" s="18" t="s">
        <v>168</v>
      </c>
    </row>
    <row r="161" spans="1:3" ht="15" customHeight="1" x14ac:dyDescent="0.25">
      <c r="A161" s="22" t="s">
        <v>440</v>
      </c>
      <c r="B161" s="19" t="s">
        <v>111</v>
      </c>
    </row>
    <row r="162" spans="1:3" ht="15" customHeight="1" x14ac:dyDescent="0.25">
      <c r="A162" s="5" t="s">
        <v>181</v>
      </c>
      <c r="B162" s="17" t="s">
        <v>23</v>
      </c>
    </row>
    <row r="163" spans="1:3" s="8" customFormat="1" ht="15" customHeight="1" x14ac:dyDescent="0.25">
      <c r="A163" s="22" t="s">
        <v>249</v>
      </c>
      <c r="B163" s="19" t="s">
        <v>250</v>
      </c>
      <c r="C163" s="34"/>
    </row>
    <row r="165" spans="1:3" s="26" customFormat="1" ht="15" customHeight="1" x14ac:dyDescent="0.25">
      <c r="A165" s="23"/>
      <c r="B165" s="25" t="s">
        <v>35</v>
      </c>
      <c r="C165" s="34"/>
    </row>
    <row r="167" spans="1:3" s="8" customFormat="1" ht="15" customHeight="1" x14ac:dyDescent="0.25">
      <c r="A167" s="5" t="s">
        <v>132</v>
      </c>
      <c r="B167" s="17" t="s">
        <v>133</v>
      </c>
      <c r="C167" s="34"/>
    </row>
    <row r="168" spans="1:3" s="8" customFormat="1" ht="15" customHeight="1" x14ac:dyDescent="0.25">
      <c r="A168" s="22" t="s">
        <v>332</v>
      </c>
      <c r="B168" s="19" t="s">
        <v>34</v>
      </c>
      <c r="C168" s="34"/>
    </row>
    <row r="169" spans="1:3" s="8" customFormat="1" ht="15" customHeight="1" x14ac:dyDescent="0.25">
      <c r="A169" s="5">
        <v>670145</v>
      </c>
      <c r="B169" s="17" t="s">
        <v>184</v>
      </c>
      <c r="C169" s="34"/>
    </row>
    <row r="170" spans="1:3" s="8" customFormat="1" ht="15" customHeight="1" x14ac:dyDescent="0.25">
      <c r="A170" s="22" t="s">
        <v>303</v>
      </c>
      <c r="B170" s="10" t="s">
        <v>305</v>
      </c>
      <c r="C170" s="34"/>
    </row>
    <row r="171" spans="1:3" s="8" customFormat="1" ht="15" customHeight="1" x14ac:dyDescent="0.25">
      <c r="A171" s="22" t="s">
        <v>304</v>
      </c>
      <c r="B171" s="10" t="s">
        <v>306</v>
      </c>
      <c r="C171" s="34"/>
    </row>
    <row r="172" spans="1:3" s="9" customFormat="1" ht="15" customHeight="1" x14ac:dyDescent="0.25">
      <c r="A172" s="5" t="s">
        <v>148</v>
      </c>
      <c r="B172" s="17" t="s">
        <v>149</v>
      </c>
      <c r="C172" s="34"/>
    </row>
    <row r="173" spans="1:3" s="9" customFormat="1" ht="15" customHeight="1" x14ac:dyDescent="0.25">
      <c r="A173" s="24" t="s">
        <v>360</v>
      </c>
      <c r="B173" s="10" t="s">
        <v>361</v>
      </c>
      <c r="C173" s="34"/>
    </row>
    <row r="174" spans="1:3" s="4" customFormat="1" ht="15" customHeight="1" x14ac:dyDescent="0.25">
      <c r="A174" s="23"/>
      <c r="B174" s="13"/>
      <c r="C174" s="34"/>
    </row>
    <row r="175" spans="1:3" s="29" customFormat="1" ht="15" customHeight="1" x14ac:dyDescent="0.25">
      <c r="A175" s="23"/>
      <c r="B175" s="27" t="s">
        <v>9</v>
      </c>
      <c r="C175" s="34"/>
    </row>
    <row r="176" spans="1:3" s="1" customFormat="1" ht="15" customHeight="1" x14ac:dyDescent="0.3">
      <c r="A176" s="23"/>
      <c r="B176" s="13"/>
      <c r="C176" s="34"/>
    </row>
    <row r="177" spans="1:3" s="26" customFormat="1" ht="15" customHeight="1" x14ac:dyDescent="0.25">
      <c r="A177" s="23"/>
      <c r="B177" s="25" t="s">
        <v>37</v>
      </c>
      <c r="C177" s="34"/>
    </row>
    <row r="178" spans="1:3" s="1" customFormat="1" ht="15" customHeight="1" x14ac:dyDescent="0.3">
      <c r="A178" s="23"/>
      <c r="B178" s="13"/>
      <c r="C178" s="34"/>
    </row>
    <row r="179" spans="1:3" s="9" customFormat="1" ht="15" customHeight="1" x14ac:dyDescent="0.25">
      <c r="A179" s="22" t="s">
        <v>451</v>
      </c>
      <c r="B179" s="10" t="s">
        <v>421</v>
      </c>
      <c r="C179" s="34"/>
    </row>
    <row r="180" spans="1:3" s="9" customFormat="1" ht="15" customHeight="1" x14ac:dyDescent="0.25">
      <c r="A180" s="22" t="s">
        <v>291</v>
      </c>
      <c r="B180" s="10" t="s">
        <v>290</v>
      </c>
      <c r="C180" s="34"/>
    </row>
    <row r="181" spans="1:3" s="9" customFormat="1" ht="15" customHeight="1" x14ac:dyDescent="0.25">
      <c r="A181" s="24" t="s">
        <v>371</v>
      </c>
      <c r="B181" s="10" t="s">
        <v>372</v>
      </c>
      <c r="C181" s="34"/>
    </row>
    <row r="182" spans="1:3" s="9" customFormat="1" ht="15" customHeight="1" x14ac:dyDescent="0.25">
      <c r="A182" s="24" t="s">
        <v>373</v>
      </c>
      <c r="B182" s="10" t="s">
        <v>374</v>
      </c>
      <c r="C182" s="34"/>
    </row>
    <row r="183" spans="1:3" s="1" customFormat="1" ht="15" customHeight="1" x14ac:dyDescent="0.3">
      <c r="A183" s="23"/>
      <c r="B183" s="13"/>
      <c r="C183" s="34"/>
    </row>
    <row r="184" spans="1:3" s="26" customFormat="1" ht="15" customHeight="1" x14ac:dyDescent="0.25">
      <c r="A184" s="23"/>
      <c r="B184" s="25" t="s">
        <v>38</v>
      </c>
      <c r="C184" s="34"/>
    </row>
    <row r="185" spans="1:3" s="1" customFormat="1" ht="15" customHeight="1" x14ac:dyDescent="0.3">
      <c r="A185" s="23"/>
      <c r="B185" s="13"/>
      <c r="C185" s="34"/>
    </row>
    <row r="186" spans="1:3" s="9" customFormat="1" ht="15" customHeight="1" x14ac:dyDescent="0.25">
      <c r="A186" s="22" t="s">
        <v>451</v>
      </c>
      <c r="B186" s="10" t="s">
        <v>421</v>
      </c>
      <c r="C186" s="34"/>
    </row>
    <row r="187" spans="1:3" s="9" customFormat="1" ht="15" customHeight="1" x14ac:dyDescent="0.25">
      <c r="A187" s="5" t="s">
        <v>124</v>
      </c>
      <c r="B187" s="20" t="s">
        <v>125</v>
      </c>
      <c r="C187" s="34"/>
    </row>
    <row r="188" spans="1:3" s="9" customFormat="1" ht="15" customHeight="1" x14ac:dyDescent="0.25">
      <c r="A188" s="24" t="s">
        <v>333</v>
      </c>
      <c r="B188" s="10" t="s">
        <v>334</v>
      </c>
      <c r="C188" s="34"/>
    </row>
    <row r="189" spans="1:3" s="9" customFormat="1" ht="15" customHeight="1" x14ac:dyDescent="0.25">
      <c r="A189" s="24" t="s">
        <v>399</v>
      </c>
      <c r="B189" s="10" t="s">
        <v>400</v>
      </c>
      <c r="C189" s="34"/>
    </row>
    <row r="190" spans="1:3" s="1" customFormat="1" ht="15" customHeight="1" x14ac:dyDescent="0.3">
      <c r="A190" s="23"/>
      <c r="B190" s="13"/>
      <c r="C190" s="34"/>
    </row>
    <row r="191" spans="1:3" s="29" customFormat="1" ht="15" customHeight="1" x14ac:dyDescent="0.25">
      <c r="A191" s="23"/>
      <c r="B191" s="25" t="s">
        <v>39</v>
      </c>
      <c r="C191" s="34"/>
    </row>
    <row r="192" spans="1:3" s="1" customFormat="1" ht="15" customHeight="1" x14ac:dyDescent="0.3">
      <c r="A192" s="23"/>
      <c r="B192" s="13"/>
      <c r="C192" s="34"/>
    </row>
    <row r="193" spans="1:3" s="9" customFormat="1" ht="15" customHeight="1" x14ac:dyDescent="0.25">
      <c r="A193" s="5" t="s">
        <v>134</v>
      </c>
      <c r="B193" s="17" t="s">
        <v>135</v>
      </c>
      <c r="C193" s="34"/>
    </row>
    <row r="194" spans="1:3" s="9" customFormat="1" ht="15" customHeight="1" x14ac:dyDescent="0.25">
      <c r="A194" s="22" t="s">
        <v>332</v>
      </c>
      <c r="B194" s="19" t="s">
        <v>34</v>
      </c>
      <c r="C194" s="34"/>
    </row>
    <row r="195" spans="1:3" s="9" customFormat="1" ht="15" customHeight="1" x14ac:dyDescent="0.25">
      <c r="A195" s="22" t="s">
        <v>358</v>
      </c>
      <c r="B195" s="19" t="s">
        <v>357</v>
      </c>
      <c r="C195" s="34"/>
    </row>
    <row r="196" spans="1:3" s="9" customFormat="1" ht="15" customHeight="1" x14ac:dyDescent="0.25">
      <c r="A196" s="22" t="s">
        <v>463</v>
      </c>
      <c r="B196" s="10" t="s">
        <v>446</v>
      </c>
      <c r="C196" s="34"/>
    </row>
    <row r="197" spans="1:3" s="9" customFormat="1" ht="15" customHeight="1" x14ac:dyDescent="0.25">
      <c r="A197" s="24" t="s">
        <v>350</v>
      </c>
      <c r="B197" s="10" t="s">
        <v>351</v>
      </c>
      <c r="C197" s="34"/>
    </row>
    <row r="198" spans="1:3" s="9" customFormat="1" ht="15" customHeight="1" x14ac:dyDescent="0.25">
      <c r="A198" s="24" t="s">
        <v>373</v>
      </c>
      <c r="B198" s="10" t="s">
        <v>374</v>
      </c>
      <c r="C198" s="34"/>
    </row>
    <row r="199" spans="1:3" s="1" customFormat="1" ht="15" customHeight="1" x14ac:dyDescent="0.3">
      <c r="A199" s="23"/>
      <c r="B199" s="13"/>
      <c r="C199" s="34"/>
    </row>
    <row r="200" spans="1:3" s="26" customFormat="1" ht="15" customHeight="1" x14ac:dyDescent="0.25">
      <c r="A200" s="23"/>
      <c r="B200" s="25" t="s">
        <v>40</v>
      </c>
      <c r="C200" s="34"/>
    </row>
    <row r="201" spans="1:3" s="1" customFormat="1" ht="15" customHeight="1" x14ac:dyDescent="0.3">
      <c r="A201" s="23"/>
      <c r="B201" s="13"/>
      <c r="C201" s="34"/>
    </row>
    <row r="202" spans="1:3" s="9" customFormat="1" ht="15" customHeight="1" x14ac:dyDescent="0.25">
      <c r="A202" s="5" t="s">
        <v>130</v>
      </c>
      <c r="B202" s="17" t="s">
        <v>131</v>
      </c>
      <c r="C202" s="34"/>
    </row>
    <row r="203" spans="1:3" s="9" customFormat="1" ht="15" customHeight="1" x14ac:dyDescent="0.25">
      <c r="A203" s="7" t="s">
        <v>136</v>
      </c>
      <c r="B203" s="17" t="s">
        <v>137</v>
      </c>
      <c r="C203" s="34"/>
    </row>
    <row r="204" spans="1:3" s="9" customFormat="1" ht="15" customHeight="1" x14ac:dyDescent="0.25">
      <c r="A204" s="22" t="s">
        <v>368</v>
      </c>
      <c r="B204" s="10" t="s">
        <v>367</v>
      </c>
      <c r="C204" s="34"/>
    </row>
    <row r="205" spans="1:3" s="9" customFormat="1" ht="15" customHeight="1" x14ac:dyDescent="0.25">
      <c r="A205" s="5" t="s">
        <v>157</v>
      </c>
      <c r="B205" s="20" t="s">
        <v>158</v>
      </c>
      <c r="C205" s="34"/>
    </row>
    <row r="206" spans="1:3" s="1" customFormat="1" ht="15" customHeight="1" x14ac:dyDescent="0.3">
      <c r="A206" s="23"/>
      <c r="B206" s="13"/>
      <c r="C206" s="34"/>
    </row>
    <row r="207" spans="1:3" s="26" customFormat="1" ht="15" customHeight="1" x14ac:dyDescent="0.25">
      <c r="A207" s="23"/>
      <c r="B207" s="25" t="s">
        <v>41</v>
      </c>
      <c r="C207" s="34"/>
    </row>
    <row r="208" spans="1:3" s="1" customFormat="1" ht="15" customHeight="1" x14ac:dyDescent="0.3">
      <c r="A208" s="23"/>
      <c r="B208" s="13"/>
      <c r="C208" s="34"/>
    </row>
    <row r="209" spans="1:3" s="9" customFormat="1" ht="15" customHeight="1" x14ac:dyDescent="0.25">
      <c r="A209" s="22" t="s">
        <v>451</v>
      </c>
      <c r="B209" s="10" t="s">
        <v>421</v>
      </c>
      <c r="C209" s="34"/>
    </row>
    <row r="210" spans="1:3" s="9" customFormat="1" ht="15" customHeight="1" x14ac:dyDescent="0.25">
      <c r="A210" s="22" t="s">
        <v>358</v>
      </c>
      <c r="B210" s="19" t="s">
        <v>357</v>
      </c>
      <c r="C210" s="34"/>
    </row>
    <row r="211" spans="1:3" s="9" customFormat="1" ht="15" customHeight="1" x14ac:dyDescent="0.25">
      <c r="A211" s="5" t="s">
        <v>124</v>
      </c>
      <c r="B211" s="20" t="s">
        <v>125</v>
      </c>
      <c r="C211" s="34"/>
    </row>
    <row r="212" spans="1:3" s="9" customFormat="1" ht="15" customHeight="1" x14ac:dyDescent="0.25">
      <c r="A212" s="22" t="s">
        <v>186</v>
      </c>
      <c r="B212" s="16" t="s">
        <v>185</v>
      </c>
      <c r="C212" s="34"/>
    </row>
    <row r="213" spans="1:3" s="9" customFormat="1" ht="15" customHeight="1" x14ac:dyDescent="0.25">
      <c r="A213" s="22" t="s">
        <v>269</v>
      </c>
      <c r="B213" s="10" t="s">
        <v>268</v>
      </c>
      <c r="C213" s="34"/>
    </row>
    <row r="214" spans="1:3" s="9" customFormat="1" ht="15" customHeight="1" x14ac:dyDescent="0.25">
      <c r="A214" s="5" t="s">
        <v>157</v>
      </c>
      <c r="B214" s="20" t="s">
        <v>158</v>
      </c>
      <c r="C214" s="34"/>
    </row>
    <row r="215" spans="1:3" s="9" customFormat="1" ht="15" customHeight="1" x14ac:dyDescent="0.25">
      <c r="A215" s="24" t="s">
        <v>333</v>
      </c>
      <c r="B215" s="10" t="s">
        <v>334</v>
      </c>
      <c r="C215" s="34"/>
    </row>
    <row r="216" spans="1:3" s="1" customFormat="1" ht="15" customHeight="1" x14ac:dyDescent="0.3">
      <c r="A216" s="23" t="s">
        <v>464</v>
      </c>
      <c r="B216" s="13" t="s">
        <v>465</v>
      </c>
      <c r="C216" s="34"/>
    </row>
    <row r="217" spans="1:3" s="1" customFormat="1" ht="15" customHeight="1" x14ac:dyDescent="0.3">
      <c r="A217" s="23"/>
      <c r="B217" s="13"/>
      <c r="C217" s="34"/>
    </row>
    <row r="218" spans="1:3" s="26" customFormat="1" ht="15" customHeight="1" x14ac:dyDescent="0.25">
      <c r="A218" s="23"/>
      <c r="B218" s="25" t="s">
        <v>43</v>
      </c>
      <c r="C218" s="34"/>
    </row>
    <row r="219" spans="1:3" s="1" customFormat="1" ht="15" customHeight="1" x14ac:dyDescent="0.3">
      <c r="A219" s="23"/>
      <c r="B219" s="13"/>
      <c r="C219" s="34"/>
    </row>
    <row r="220" spans="1:3" s="9" customFormat="1" ht="15" customHeight="1" x14ac:dyDescent="0.25">
      <c r="A220" s="22" t="s">
        <v>358</v>
      </c>
      <c r="B220" s="19" t="s">
        <v>357</v>
      </c>
      <c r="C220" s="34"/>
    </row>
    <row r="221" spans="1:3" s="9" customFormat="1" ht="15" customHeight="1" x14ac:dyDescent="0.25">
      <c r="A221" s="22" t="s">
        <v>366</v>
      </c>
      <c r="B221" s="10" t="s">
        <v>365</v>
      </c>
      <c r="C221" s="34"/>
    </row>
    <row r="222" spans="1:3" s="9" customFormat="1" ht="15" customHeight="1" x14ac:dyDescent="0.25">
      <c r="A222" s="22" t="s">
        <v>451</v>
      </c>
      <c r="B222" s="10" t="s">
        <v>421</v>
      </c>
      <c r="C222" s="34"/>
    </row>
    <row r="223" spans="1:3" s="9" customFormat="1" ht="15" customHeight="1" x14ac:dyDescent="0.25">
      <c r="A223" s="22">
        <v>845606</v>
      </c>
      <c r="B223" s="10" t="s">
        <v>241</v>
      </c>
      <c r="C223" s="34"/>
    </row>
    <row r="224" spans="1:3" s="9" customFormat="1" ht="15" customHeight="1" x14ac:dyDescent="0.25">
      <c r="A224" s="5" t="s">
        <v>144</v>
      </c>
      <c r="B224" s="20" t="s">
        <v>145</v>
      </c>
      <c r="C224" s="34"/>
    </row>
    <row r="225" spans="1:3" s="9" customFormat="1" ht="15" customHeight="1" x14ac:dyDescent="0.25">
      <c r="A225" s="5" t="s">
        <v>157</v>
      </c>
      <c r="B225" s="20" t="s">
        <v>158</v>
      </c>
      <c r="C225" s="34"/>
    </row>
    <row r="226" spans="1:3" s="9" customFormat="1" ht="15" customHeight="1" x14ac:dyDescent="0.25">
      <c r="A226" s="24" t="s">
        <v>350</v>
      </c>
      <c r="B226" s="10" t="s">
        <v>351</v>
      </c>
      <c r="C226" s="34"/>
    </row>
    <row r="227" spans="1:3" s="9" customFormat="1" ht="15" customHeight="1" x14ac:dyDescent="0.25">
      <c r="A227" s="24" t="s">
        <v>399</v>
      </c>
      <c r="B227" s="10" t="s">
        <v>400</v>
      </c>
      <c r="C227" s="34"/>
    </row>
    <row r="228" spans="1:3" s="1" customFormat="1" ht="15" customHeight="1" x14ac:dyDescent="0.3">
      <c r="A228" s="23"/>
      <c r="B228" s="13"/>
      <c r="C228" s="34"/>
    </row>
    <row r="229" spans="1:3" s="29" customFormat="1" ht="15" customHeight="1" x14ac:dyDescent="0.25">
      <c r="A229" s="23"/>
      <c r="B229" s="27" t="s">
        <v>0</v>
      </c>
      <c r="C229" s="34"/>
    </row>
    <row r="230" spans="1:3" s="1" customFormat="1" ht="15" customHeight="1" x14ac:dyDescent="0.3">
      <c r="A230" s="23"/>
      <c r="B230" s="13"/>
      <c r="C230" s="34"/>
    </row>
    <row r="231" spans="1:3" s="26" customFormat="1" ht="15" customHeight="1" x14ac:dyDescent="0.25">
      <c r="A231" s="23"/>
      <c r="B231" s="25" t="s">
        <v>61</v>
      </c>
      <c r="C231" s="34"/>
    </row>
    <row r="232" spans="1:3" s="1" customFormat="1" ht="15" customHeight="1" x14ac:dyDescent="0.3">
      <c r="A232" s="23"/>
      <c r="B232" s="13"/>
      <c r="C232" s="34"/>
    </row>
    <row r="233" spans="1:3" s="9" customFormat="1" ht="15" customHeight="1" x14ac:dyDescent="0.25">
      <c r="A233" s="24" t="s">
        <v>377</v>
      </c>
      <c r="B233" s="10" t="s">
        <v>378</v>
      </c>
      <c r="C233" s="34"/>
    </row>
    <row r="234" spans="1:3" s="9" customFormat="1" ht="15" customHeight="1" x14ac:dyDescent="0.25">
      <c r="A234" s="22" t="s">
        <v>190</v>
      </c>
      <c r="B234" s="10" t="s">
        <v>189</v>
      </c>
      <c r="C234" s="34"/>
    </row>
    <row r="235" spans="1:3" s="9" customFormat="1" ht="15" customHeight="1" x14ac:dyDescent="0.25">
      <c r="A235" s="22" t="s">
        <v>247</v>
      </c>
      <c r="B235" s="10" t="s">
        <v>246</v>
      </c>
      <c r="C235" s="34"/>
    </row>
    <row r="236" spans="1:3" s="9" customFormat="1" ht="15" customHeight="1" x14ac:dyDescent="0.25">
      <c r="A236" s="22" t="s">
        <v>291</v>
      </c>
      <c r="B236" s="10" t="s">
        <v>290</v>
      </c>
      <c r="C236" s="34"/>
    </row>
    <row r="237" spans="1:3" s="1" customFormat="1" ht="15" customHeight="1" x14ac:dyDescent="0.3">
      <c r="A237" s="23"/>
      <c r="B237" s="13"/>
      <c r="C237" s="34"/>
    </row>
    <row r="238" spans="1:3" s="26" customFormat="1" ht="15" customHeight="1" x14ac:dyDescent="0.25">
      <c r="A238" s="23"/>
      <c r="B238" s="25" t="s">
        <v>44</v>
      </c>
      <c r="C238" s="34"/>
    </row>
    <row r="239" spans="1:3" s="1" customFormat="1" ht="15" customHeight="1" x14ac:dyDescent="0.3">
      <c r="A239" s="23"/>
      <c r="B239" s="13"/>
      <c r="C239" s="34"/>
    </row>
    <row r="240" spans="1:3" s="9" customFormat="1" ht="15" customHeight="1" x14ac:dyDescent="0.25">
      <c r="A240" s="22" t="s">
        <v>325</v>
      </c>
      <c r="B240" s="19" t="s">
        <v>85</v>
      </c>
      <c r="C240" s="34"/>
    </row>
    <row r="241" spans="1:3" s="9" customFormat="1" ht="15" customHeight="1" x14ac:dyDescent="0.25">
      <c r="A241" s="22" t="s">
        <v>327</v>
      </c>
      <c r="B241" s="19" t="s">
        <v>86</v>
      </c>
      <c r="C241" s="34"/>
    </row>
    <row r="242" spans="1:3" s="9" customFormat="1" ht="15" customHeight="1" x14ac:dyDescent="0.25">
      <c r="A242" s="22" t="s">
        <v>216</v>
      </c>
      <c r="B242" s="19" t="s">
        <v>218</v>
      </c>
      <c r="C242" s="34"/>
    </row>
    <row r="243" spans="1:3" s="9" customFormat="1" ht="15" customHeight="1" x14ac:dyDescent="0.25">
      <c r="A243" s="22" t="s">
        <v>382</v>
      </c>
      <c r="B243" s="10" t="s">
        <v>381</v>
      </c>
      <c r="C243" s="34"/>
    </row>
    <row r="244" spans="1:3" s="9" customFormat="1" ht="15" customHeight="1" x14ac:dyDescent="0.25">
      <c r="A244" s="22" t="s">
        <v>448</v>
      </c>
      <c r="B244" s="10" t="s">
        <v>447</v>
      </c>
      <c r="C244" s="34"/>
    </row>
    <row r="245" spans="1:3" s="9" customFormat="1" ht="15" customHeight="1" x14ac:dyDescent="0.25">
      <c r="A245" s="22" t="s">
        <v>254</v>
      </c>
      <c r="B245" s="10" t="s">
        <v>253</v>
      </c>
      <c r="C245" s="34"/>
    </row>
    <row r="246" spans="1:3" s="1" customFormat="1" ht="15" customHeight="1" x14ac:dyDescent="0.3">
      <c r="A246" s="23"/>
      <c r="B246" s="13"/>
      <c r="C246" s="34"/>
    </row>
    <row r="247" spans="1:3" s="26" customFormat="1" ht="15" customHeight="1" x14ac:dyDescent="0.25">
      <c r="A247" s="23"/>
      <c r="B247" s="25" t="s">
        <v>425</v>
      </c>
      <c r="C247" s="34"/>
    </row>
    <row r="248" spans="1:3" s="2" customFormat="1" ht="15" customHeight="1" x14ac:dyDescent="0.25">
      <c r="A248" s="23"/>
      <c r="B248" s="15"/>
      <c r="C248" s="34"/>
    </row>
    <row r="249" spans="1:3" s="2" customFormat="1" ht="15" customHeight="1" x14ac:dyDescent="0.25">
      <c r="A249" s="22" t="s">
        <v>440</v>
      </c>
      <c r="B249" s="19" t="s">
        <v>111</v>
      </c>
      <c r="C249" s="34"/>
    </row>
    <row r="250" spans="1:3" s="2" customFormat="1" ht="15" customHeight="1" x14ac:dyDescent="0.25">
      <c r="A250" s="22" t="s">
        <v>406</v>
      </c>
      <c r="B250" s="10" t="s">
        <v>407</v>
      </c>
      <c r="C250" s="34"/>
    </row>
    <row r="251" spans="1:3" s="2" customFormat="1" ht="15" customHeight="1" x14ac:dyDescent="0.25">
      <c r="A251" s="5" t="s">
        <v>181</v>
      </c>
      <c r="B251" s="17" t="s">
        <v>23</v>
      </c>
      <c r="C251" s="34"/>
    </row>
    <row r="252" spans="1:3" s="9" customFormat="1" ht="15" customHeight="1" x14ac:dyDescent="0.25">
      <c r="A252" s="22" t="s">
        <v>208</v>
      </c>
      <c r="B252" s="19" t="s">
        <v>209</v>
      </c>
      <c r="C252" s="34"/>
    </row>
    <row r="253" spans="1:3" s="9" customFormat="1" ht="15" customHeight="1" x14ac:dyDescent="0.25">
      <c r="A253" s="22" t="s">
        <v>210</v>
      </c>
      <c r="B253" s="19" t="s">
        <v>211</v>
      </c>
      <c r="C253" s="34"/>
    </row>
    <row r="254" spans="1:3" s="9" customFormat="1" ht="15" customHeight="1" x14ac:dyDescent="0.25">
      <c r="A254" s="22" t="s">
        <v>283</v>
      </c>
      <c r="B254" s="19" t="s">
        <v>24</v>
      </c>
      <c r="C254" s="34"/>
    </row>
    <row r="255" spans="1:3" s="9" customFormat="1" ht="15" customHeight="1" x14ac:dyDescent="0.25">
      <c r="A255" s="5" t="s">
        <v>159</v>
      </c>
      <c r="B255" s="17" t="s">
        <v>160</v>
      </c>
      <c r="C255" s="34"/>
    </row>
    <row r="256" spans="1:3" s="9" customFormat="1" ht="15" customHeight="1" x14ac:dyDescent="0.25">
      <c r="A256" s="22" t="s">
        <v>382</v>
      </c>
      <c r="B256" s="10" t="s">
        <v>381</v>
      </c>
      <c r="C256" s="34"/>
    </row>
    <row r="257" spans="1:3" s="9" customFormat="1" ht="15" customHeight="1" x14ac:dyDescent="0.25">
      <c r="A257" s="22" t="s">
        <v>450</v>
      </c>
      <c r="B257" s="31" t="s">
        <v>449</v>
      </c>
      <c r="C257" s="34"/>
    </row>
    <row r="258" spans="1:3" s="9" customFormat="1" ht="15" customHeight="1" x14ac:dyDescent="0.25">
      <c r="A258" s="24">
        <v>150036</v>
      </c>
      <c r="B258" s="10" t="s">
        <v>362</v>
      </c>
      <c r="C258" s="34"/>
    </row>
    <row r="259" spans="1:3" s="9" customFormat="1" ht="15" customHeight="1" x14ac:dyDescent="0.25">
      <c r="A259" s="22" t="s">
        <v>457</v>
      </c>
      <c r="B259" s="10" t="s">
        <v>408</v>
      </c>
      <c r="C259" s="34"/>
    </row>
    <row r="260" spans="1:3" s="9" customFormat="1" ht="15" customHeight="1" x14ac:dyDescent="0.25">
      <c r="A260" s="5" t="s">
        <v>157</v>
      </c>
      <c r="B260" s="20" t="s">
        <v>158</v>
      </c>
      <c r="C260" s="34"/>
    </row>
    <row r="261" spans="1:3" s="2" customFormat="1" ht="15" customHeight="1" x14ac:dyDescent="0.25">
      <c r="A261" s="23"/>
      <c r="B261" s="15"/>
      <c r="C261" s="34"/>
    </row>
    <row r="262" spans="1:3" s="26" customFormat="1" ht="15" customHeight="1" x14ac:dyDescent="0.25">
      <c r="A262" s="23"/>
      <c r="B262" s="25" t="s">
        <v>424</v>
      </c>
      <c r="C262" s="34"/>
    </row>
    <row r="263" spans="1:3" s="2" customFormat="1" ht="15" customHeight="1" x14ac:dyDescent="0.25">
      <c r="A263" s="23"/>
      <c r="B263" s="15"/>
      <c r="C263" s="34"/>
    </row>
    <row r="264" spans="1:3" s="2" customFormat="1" ht="15" customHeight="1" x14ac:dyDescent="0.25">
      <c r="A264" s="22" t="s">
        <v>440</v>
      </c>
      <c r="B264" s="19" t="s">
        <v>111</v>
      </c>
      <c r="C264" s="34"/>
    </row>
    <row r="265" spans="1:3" s="2" customFormat="1" ht="15" customHeight="1" x14ac:dyDescent="0.25">
      <c r="A265" s="22" t="s">
        <v>406</v>
      </c>
      <c r="B265" s="10" t="s">
        <v>407</v>
      </c>
      <c r="C265" s="34"/>
    </row>
    <row r="266" spans="1:3" s="2" customFormat="1" ht="15" customHeight="1" x14ac:dyDescent="0.25">
      <c r="A266" s="5" t="s">
        <v>181</v>
      </c>
      <c r="B266" s="17" t="s">
        <v>23</v>
      </c>
      <c r="C266" s="34"/>
    </row>
    <row r="267" spans="1:3" s="9" customFormat="1" ht="15" customHeight="1" x14ac:dyDescent="0.25">
      <c r="A267" s="22" t="s">
        <v>208</v>
      </c>
      <c r="B267" s="19" t="s">
        <v>209</v>
      </c>
      <c r="C267" s="34"/>
    </row>
    <row r="268" spans="1:3" s="9" customFormat="1" ht="15" customHeight="1" x14ac:dyDescent="0.25">
      <c r="A268" s="22" t="s">
        <v>210</v>
      </c>
      <c r="B268" s="19" t="s">
        <v>211</v>
      </c>
      <c r="C268" s="34"/>
    </row>
    <row r="269" spans="1:3" s="9" customFormat="1" ht="15" customHeight="1" x14ac:dyDescent="0.25">
      <c r="A269" s="22" t="s">
        <v>283</v>
      </c>
      <c r="B269" s="19" t="s">
        <v>24</v>
      </c>
      <c r="C269" s="34"/>
    </row>
    <row r="270" spans="1:3" s="9" customFormat="1" ht="15" customHeight="1" x14ac:dyDescent="0.25">
      <c r="A270" s="5" t="s">
        <v>159</v>
      </c>
      <c r="B270" s="17" t="s">
        <v>160</v>
      </c>
      <c r="C270" s="34"/>
    </row>
    <row r="271" spans="1:3" s="9" customFormat="1" ht="15" customHeight="1" x14ac:dyDescent="0.25">
      <c r="A271" s="22" t="s">
        <v>382</v>
      </c>
      <c r="B271" s="10" t="s">
        <v>381</v>
      </c>
      <c r="C271" s="34"/>
    </row>
    <row r="272" spans="1:3" s="9" customFormat="1" ht="15" customHeight="1" x14ac:dyDescent="0.25">
      <c r="A272" s="22" t="s">
        <v>450</v>
      </c>
      <c r="B272" s="31" t="s">
        <v>449</v>
      </c>
      <c r="C272" s="34"/>
    </row>
    <row r="273" spans="1:3" s="9" customFormat="1" ht="15" customHeight="1" x14ac:dyDescent="0.25">
      <c r="A273" s="24">
        <v>150036</v>
      </c>
      <c r="B273" s="10" t="s">
        <v>362</v>
      </c>
      <c r="C273" s="34"/>
    </row>
    <row r="274" spans="1:3" s="9" customFormat="1" ht="15" customHeight="1" x14ac:dyDescent="0.25">
      <c r="A274" s="22" t="s">
        <v>457</v>
      </c>
      <c r="B274" s="10" t="s">
        <v>408</v>
      </c>
      <c r="C274" s="34"/>
    </row>
    <row r="275" spans="1:3" s="9" customFormat="1" ht="15" customHeight="1" x14ac:dyDescent="0.25">
      <c r="A275" s="22" t="s">
        <v>288</v>
      </c>
      <c r="B275" s="10" t="s">
        <v>289</v>
      </c>
      <c r="C275" s="34"/>
    </row>
    <row r="276" spans="1:3" s="2" customFormat="1" ht="15" customHeight="1" x14ac:dyDescent="0.25">
      <c r="A276" s="24" t="s">
        <v>395</v>
      </c>
      <c r="B276" s="10" t="s">
        <v>396</v>
      </c>
      <c r="C276" s="34"/>
    </row>
    <row r="277" spans="1:3" s="2" customFormat="1" ht="15" customHeight="1" x14ac:dyDescent="0.25">
      <c r="A277" s="23"/>
      <c r="B277" s="15"/>
      <c r="C277" s="34"/>
    </row>
    <row r="278" spans="1:3" s="26" customFormat="1" ht="15" customHeight="1" x14ac:dyDescent="0.25">
      <c r="A278" s="23"/>
      <c r="B278" s="25" t="s">
        <v>426</v>
      </c>
      <c r="C278" s="34"/>
    </row>
    <row r="279" spans="1:3" s="2" customFormat="1" ht="15" customHeight="1" x14ac:dyDescent="0.25">
      <c r="A279" s="23"/>
      <c r="B279" s="15"/>
      <c r="C279" s="34"/>
    </row>
    <row r="280" spans="1:3" s="9" customFormat="1" ht="15" customHeight="1" x14ac:dyDescent="0.25">
      <c r="A280" s="22" t="s">
        <v>440</v>
      </c>
      <c r="B280" s="19" t="s">
        <v>111</v>
      </c>
      <c r="C280" s="34"/>
    </row>
    <row r="281" spans="1:3" s="2" customFormat="1" ht="15" customHeight="1" x14ac:dyDescent="0.25">
      <c r="A281" s="5" t="s">
        <v>181</v>
      </c>
      <c r="B281" s="17" t="s">
        <v>23</v>
      </c>
      <c r="C281" s="34"/>
    </row>
    <row r="282" spans="1:3" s="9" customFormat="1" ht="15" customHeight="1" x14ac:dyDescent="0.25">
      <c r="A282" s="5" t="s">
        <v>132</v>
      </c>
      <c r="B282" s="17" t="s">
        <v>133</v>
      </c>
      <c r="C282" s="34"/>
    </row>
    <row r="283" spans="1:3" s="9" customFormat="1" ht="15" customHeight="1" x14ac:dyDescent="0.25">
      <c r="A283" s="5" t="s">
        <v>169</v>
      </c>
      <c r="B283" s="17" t="s">
        <v>170</v>
      </c>
      <c r="C283" s="34"/>
    </row>
    <row r="284" spans="1:3" s="9" customFormat="1" ht="15" customHeight="1" x14ac:dyDescent="0.25">
      <c r="A284" s="22" t="s">
        <v>330</v>
      </c>
      <c r="B284" s="19" t="s">
        <v>87</v>
      </c>
      <c r="C284" s="34"/>
    </row>
    <row r="285" spans="1:3" s="9" customFormat="1" ht="15" customHeight="1" x14ac:dyDescent="0.25">
      <c r="A285" s="22" t="s">
        <v>404</v>
      </c>
      <c r="B285" s="10" t="s">
        <v>405</v>
      </c>
      <c r="C285" s="34"/>
    </row>
    <row r="286" spans="1:3" s="9" customFormat="1" ht="15" customHeight="1" x14ac:dyDescent="0.25">
      <c r="A286" s="5" t="s">
        <v>175</v>
      </c>
      <c r="B286" s="17" t="s">
        <v>444</v>
      </c>
      <c r="C286" s="34"/>
    </row>
    <row r="287" spans="1:3" s="9" customFormat="1" ht="15" customHeight="1" x14ac:dyDescent="0.25">
      <c r="A287" s="22" t="s">
        <v>450</v>
      </c>
      <c r="B287" s="31" t="s">
        <v>449</v>
      </c>
      <c r="C287" s="34"/>
    </row>
    <row r="288" spans="1:3" s="2" customFormat="1" ht="15" customHeight="1" x14ac:dyDescent="0.25">
      <c r="A288" s="6" t="s">
        <v>122</v>
      </c>
      <c r="B288" s="20" t="s">
        <v>123</v>
      </c>
      <c r="C288" s="34"/>
    </row>
    <row r="289" spans="1:3" s="2" customFormat="1" ht="15" customHeight="1" x14ac:dyDescent="0.25">
      <c r="A289" s="5">
        <v>670145</v>
      </c>
      <c r="B289" s="17" t="s">
        <v>184</v>
      </c>
      <c r="C289" s="34"/>
    </row>
    <row r="290" spans="1:3" s="9" customFormat="1" ht="15" customHeight="1" x14ac:dyDescent="0.25">
      <c r="A290" s="5" t="s">
        <v>171</v>
      </c>
      <c r="B290" s="21" t="s">
        <v>172</v>
      </c>
      <c r="C290" s="34"/>
    </row>
    <row r="291" spans="1:3" s="9" customFormat="1" ht="15" customHeight="1" x14ac:dyDescent="0.25">
      <c r="A291" s="22" t="s">
        <v>257</v>
      </c>
      <c r="B291" s="10" t="s">
        <v>256</v>
      </c>
      <c r="C291" s="34"/>
    </row>
    <row r="292" spans="1:3" s="2" customFormat="1" ht="15" customHeight="1" x14ac:dyDescent="0.25">
      <c r="A292" s="22" t="s">
        <v>300</v>
      </c>
      <c r="B292" s="10" t="s">
        <v>301</v>
      </c>
      <c r="C292" s="34"/>
    </row>
    <row r="293" spans="1:3" s="9" customFormat="1" ht="15" customHeight="1" x14ac:dyDescent="0.25">
      <c r="A293" s="24" t="s">
        <v>397</v>
      </c>
      <c r="B293" s="10" t="s">
        <v>398</v>
      </c>
      <c r="C293" s="34"/>
    </row>
    <row r="294" spans="1:3" s="2" customFormat="1" ht="15" customHeight="1" x14ac:dyDescent="0.25">
      <c r="A294" s="23"/>
      <c r="B294" s="15"/>
      <c r="C294" s="34"/>
    </row>
    <row r="295" spans="1:3" s="26" customFormat="1" ht="15" customHeight="1" x14ac:dyDescent="0.25">
      <c r="A295" s="23"/>
      <c r="B295" s="25" t="s">
        <v>427</v>
      </c>
      <c r="C295" s="34"/>
    </row>
    <row r="296" spans="1:3" s="1" customFormat="1" ht="15" customHeight="1" x14ac:dyDescent="0.3">
      <c r="A296" s="23"/>
      <c r="B296" s="13"/>
      <c r="C296" s="34"/>
    </row>
    <row r="297" spans="1:3" s="1" customFormat="1" ht="15" customHeight="1" x14ac:dyDescent="0.3">
      <c r="A297" s="22" t="s">
        <v>450</v>
      </c>
      <c r="B297" s="31" t="s">
        <v>449</v>
      </c>
      <c r="C297" s="34"/>
    </row>
    <row r="298" spans="1:3" s="1" customFormat="1" ht="15" customHeight="1" x14ac:dyDescent="0.3">
      <c r="A298" s="22">
        <v>802000</v>
      </c>
      <c r="B298" s="19" t="s">
        <v>191</v>
      </c>
      <c r="C298" s="34"/>
    </row>
    <row r="299" spans="1:3" s="1" customFormat="1" ht="15" customHeight="1" x14ac:dyDescent="0.3">
      <c r="A299" s="22" t="s">
        <v>200</v>
      </c>
      <c r="B299" s="10" t="s">
        <v>201</v>
      </c>
      <c r="C299" s="34"/>
    </row>
    <row r="300" spans="1:3" s="1" customFormat="1" ht="15" customHeight="1" x14ac:dyDescent="0.3">
      <c r="A300" s="22" t="s">
        <v>265</v>
      </c>
      <c r="B300" s="10" t="s">
        <v>264</v>
      </c>
      <c r="C300" s="34"/>
    </row>
    <row r="301" spans="1:3" s="1" customFormat="1" ht="15" customHeight="1" x14ac:dyDescent="0.3">
      <c r="A301" s="22" t="s">
        <v>313</v>
      </c>
      <c r="B301" s="10" t="s">
        <v>314</v>
      </c>
      <c r="C301" s="34"/>
    </row>
    <row r="302" spans="1:3" s="1" customFormat="1" ht="15" customHeight="1" x14ac:dyDescent="0.3">
      <c r="A302" s="22" t="s">
        <v>335</v>
      </c>
      <c r="B302" s="19" t="s">
        <v>336</v>
      </c>
      <c r="C302" s="34"/>
    </row>
    <row r="304" spans="1:3" s="29" customFormat="1" ht="15" customHeight="1" x14ac:dyDescent="0.25">
      <c r="A304" s="23"/>
      <c r="B304" s="27" t="s">
        <v>10</v>
      </c>
      <c r="C304" s="34"/>
    </row>
    <row r="305" spans="1:3" s="1" customFormat="1" ht="15" customHeight="1" x14ac:dyDescent="0.3">
      <c r="A305" s="23"/>
      <c r="B305" s="14"/>
      <c r="C305" s="34"/>
    </row>
    <row r="306" spans="1:3" s="26" customFormat="1" ht="15" customHeight="1" x14ac:dyDescent="0.25">
      <c r="A306" s="23"/>
      <c r="B306" s="25" t="s">
        <v>52</v>
      </c>
      <c r="C306" s="34"/>
    </row>
    <row r="307" spans="1:3" s="2" customFormat="1" ht="15" customHeight="1" x14ac:dyDescent="0.25">
      <c r="A307" s="23"/>
      <c r="B307" s="12"/>
      <c r="C307" s="34"/>
    </row>
    <row r="308" spans="1:3" ht="15" customHeight="1" x14ac:dyDescent="0.25">
      <c r="A308" s="5" t="s">
        <v>134</v>
      </c>
      <c r="B308" s="17" t="s">
        <v>135</v>
      </c>
    </row>
    <row r="309" spans="1:3" ht="15" customHeight="1" x14ac:dyDescent="0.25">
      <c r="A309" s="22" t="s">
        <v>402</v>
      </c>
      <c r="B309" s="10" t="s">
        <v>401</v>
      </c>
    </row>
    <row r="310" spans="1:3" ht="15" customHeight="1" x14ac:dyDescent="0.25">
      <c r="A310" s="5">
        <v>670145</v>
      </c>
      <c r="B310" s="17" t="s">
        <v>184</v>
      </c>
    </row>
    <row r="311" spans="1:3" ht="15" customHeight="1" x14ac:dyDescent="0.25">
      <c r="A311" s="24" t="s">
        <v>350</v>
      </c>
      <c r="B311" s="10" t="s">
        <v>351</v>
      </c>
    </row>
    <row r="312" spans="1:3" ht="15" customHeight="1" x14ac:dyDescent="0.25">
      <c r="A312" s="5" t="s">
        <v>126</v>
      </c>
      <c r="B312" s="17" t="s">
        <v>127</v>
      </c>
    </row>
    <row r="313" spans="1:3" s="2" customFormat="1" ht="15" customHeight="1" x14ac:dyDescent="0.25">
      <c r="A313" s="23"/>
      <c r="B313" s="12"/>
      <c r="C313" s="34"/>
    </row>
    <row r="314" spans="1:3" s="26" customFormat="1" ht="15" customHeight="1" x14ac:dyDescent="0.25">
      <c r="A314" s="23"/>
      <c r="B314" s="25" t="s">
        <v>53</v>
      </c>
      <c r="C314" s="34"/>
    </row>
    <row r="315" spans="1:3" s="2" customFormat="1" ht="15" customHeight="1" x14ac:dyDescent="0.25">
      <c r="A315" s="23"/>
      <c r="B315" s="12"/>
      <c r="C315" s="34"/>
    </row>
    <row r="316" spans="1:3" ht="15" customHeight="1" x14ac:dyDescent="0.25">
      <c r="A316" s="5" t="s">
        <v>134</v>
      </c>
      <c r="B316" s="17" t="s">
        <v>135</v>
      </c>
    </row>
    <row r="317" spans="1:3" ht="15" customHeight="1" x14ac:dyDescent="0.25">
      <c r="A317" s="22" t="s">
        <v>440</v>
      </c>
      <c r="B317" s="19" t="s">
        <v>111</v>
      </c>
    </row>
    <row r="318" spans="1:3" ht="15" customHeight="1" x14ac:dyDescent="0.25">
      <c r="A318" s="5" t="s">
        <v>181</v>
      </c>
      <c r="B318" s="17" t="s">
        <v>23</v>
      </c>
    </row>
    <row r="319" spans="1:3" ht="15" customHeight="1" x14ac:dyDescent="0.25">
      <c r="A319" s="22" t="s">
        <v>358</v>
      </c>
      <c r="B319" s="19" t="s">
        <v>357</v>
      </c>
    </row>
    <row r="320" spans="1:3" ht="15" customHeight="1" x14ac:dyDescent="0.25">
      <c r="A320" s="22" t="s">
        <v>402</v>
      </c>
      <c r="B320" s="10" t="s">
        <v>401</v>
      </c>
    </row>
    <row r="321" spans="1:3" s="2" customFormat="1" ht="15" customHeight="1" x14ac:dyDescent="0.25">
      <c r="A321" s="23"/>
      <c r="B321" s="12"/>
      <c r="C321" s="34"/>
    </row>
    <row r="322" spans="1:3" s="26" customFormat="1" ht="15" customHeight="1" x14ac:dyDescent="0.25">
      <c r="A322" s="23"/>
      <c r="B322" s="25" t="s">
        <v>54</v>
      </c>
      <c r="C322" s="34"/>
    </row>
    <row r="323" spans="1:3" s="2" customFormat="1" ht="15" customHeight="1" x14ac:dyDescent="0.25">
      <c r="A323" s="23"/>
      <c r="B323" s="12"/>
      <c r="C323" s="34"/>
    </row>
    <row r="324" spans="1:3" ht="15" customHeight="1" x14ac:dyDescent="0.25">
      <c r="A324" s="22" t="s">
        <v>440</v>
      </c>
      <c r="B324" s="19" t="s">
        <v>111</v>
      </c>
    </row>
    <row r="325" spans="1:3" ht="15" customHeight="1" x14ac:dyDescent="0.25">
      <c r="A325" s="5" t="s">
        <v>181</v>
      </c>
      <c r="B325" s="17" t="s">
        <v>23</v>
      </c>
    </row>
    <row r="326" spans="1:3" ht="15" customHeight="1" x14ac:dyDescent="0.25">
      <c r="A326" s="6" t="s">
        <v>167</v>
      </c>
      <c r="B326" s="18" t="s">
        <v>168</v>
      </c>
    </row>
    <row r="327" spans="1:3" ht="15" customHeight="1" x14ac:dyDescent="0.25">
      <c r="A327" s="22" t="s">
        <v>240</v>
      </c>
      <c r="B327" s="10" t="s">
        <v>239</v>
      </c>
    </row>
    <row r="328" spans="1:3" ht="15" customHeight="1" x14ac:dyDescent="0.25">
      <c r="A328" s="22" t="s">
        <v>261</v>
      </c>
      <c r="B328" s="10" t="s">
        <v>260</v>
      </c>
    </row>
    <row r="329" spans="1:3" ht="15" customHeight="1" x14ac:dyDescent="0.25">
      <c r="B329" s="19" t="s">
        <v>21</v>
      </c>
    </row>
    <row r="330" spans="1:3" s="2" customFormat="1" ht="15" customHeight="1" x14ac:dyDescent="0.25">
      <c r="A330" s="23"/>
      <c r="B330" s="12"/>
      <c r="C330" s="34"/>
    </row>
    <row r="331" spans="1:3" s="26" customFormat="1" ht="15" customHeight="1" x14ac:dyDescent="0.25">
      <c r="A331" s="23"/>
      <c r="B331" s="25" t="s">
        <v>62</v>
      </c>
      <c r="C331" s="34"/>
    </row>
    <row r="332" spans="1:3" s="2" customFormat="1" ht="15" customHeight="1" x14ac:dyDescent="0.25">
      <c r="A332" s="23"/>
      <c r="B332" s="12"/>
      <c r="C332" s="34"/>
    </row>
    <row r="333" spans="1:3" ht="15" customHeight="1" x14ac:dyDescent="0.25">
      <c r="A333" s="5" t="s">
        <v>134</v>
      </c>
      <c r="B333" s="17" t="s">
        <v>135</v>
      </c>
    </row>
    <row r="334" spans="1:3" ht="15" customHeight="1" x14ac:dyDescent="0.25">
      <c r="A334" s="5" t="s">
        <v>130</v>
      </c>
      <c r="B334" s="17" t="s">
        <v>131</v>
      </c>
    </row>
    <row r="335" spans="1:3" ht="15" customHeight="1" x14ac:dyDescent="0.25">
      <c r="A335" s="22" t="s">
        <v>331</v>
      </c>
      <c r="B335" s="19" t="s">
        <v>65</v>
      </c>
    </row>
    <row r="336" spans="1:3" ht="15" customHeight="1" x14ac:dyDescent="0.25">
      <c r="A336" s="22" t="s">
        <v>215</v>
      </c>
      <c r="B336" s="19" t="s">
        <v>217</v>
      </c>
    </row>
    <row r="337" spans="1:3" ht="15" customHeight="1" x14ac:dyDescent="0.25">
      <c r="A337" s="22" t="s">
        <v>329</v>
      </c>
      <c r="B337" s="19" t="s">
        <v>64</v>
      </c>
    </row>
    <row r="338" spans="1:3" ht="15" customHeight="1" x14ac:dyDescent="0.25">
      <c r="A338" s="22" t="s">
        <v>354</v>
      </c>
      <c r="B338" s="19" t="s">
        <v>63</v>
      </c>
    </row>
    <row r="339" spans="1:3" ht="15" customHeight="1" x14ac:dyDescent="0.25">
      <c r="A339" s="24">
        <v>148550</v>
      </c>
      <c r="B339" s="10" t="s">
        <v>391</v>
      </c>
    </row>
    <row r="340" spans="1:3" ht="15" customHeight="1" x14ac:dyDescent="0.25">
      <c r="A340" s="5">
        <v>670145</v>
      </c>
      <c r="B340" s="17" t="s">
        <v>184</v>
      </c>
    </row>
    <row r="341" spans="1:3" ht="15" customHeight="1" x14ac:dyDescent="0.25">
      <c r="A341" s="22" t="s">
        <v>259</v>
      </c>
      <c r="B341" s="10" t="s">
        <v>258</v>
      </c>
    </row>
    <row r="342" spans="1:3" ht="15" customHeight="1" x14ac:dyDescent="0.25">
      <c r="A342" s="24" t="s">
        <v>349</v>
      </c>
      <c r="B342" s="10" t="s">
        <v>73</v>
      </c>
    </row>
    <row r="343" spans="1:3" ht="15" customHeight="1" x14ac:dyDescent="0.25">
      <c r="A343" s="24" t="s">
        <v>389</v>
      </c>
      <c r="B343" s="10" t="s">
        <v>388</v>
      </c>
    </row>
    <row r="344" spans="1:3" ht="15" customHeight="1" x14ac:dyDescent="0.25">
      <c r="A344" s="24" t="s">
        <v>397</v>
      </c>
      <c r="B344" s="10" t="s">
        <v>398</v>
      </c>
    </row>
    <row r="345" spans="1:3" s="1" customFormat="1" ht="15" customHeight="1" x14ac:dyDescent="0.3">
      <c r="A345" s="23"/>
      <c r="B345" s="14"/>
      <c r="C345" s="34"/>
    </row>
    <row r="346" spans="1:3" s="26" customFormat="1" ht="15" customHeight="1" x14ac:dyDescent="0.25">
      <c r="A346" s="23"/>
      <c r="B346" s="25" t="s">
        <v>66</v>
      </c>
      <c r="C346" s="34"/>
    </row>
    <row r="347" spans="1:3" s="2" customFormat="1" ht="15" customHeight="1" x14ac:dyDescent="0.25">
      <c r="A347" s="23"/>
      <c r="B347" s="12"/>
      <c r="C347" s="34"/>
    </row>
    <row r="348" spans="1:3" ht="15" customHeight="1" x14ac:dyDescent="0.25">
      <c r="A348" s="5" t="s">
        <v>134</v>
      </c>
      <c r="B348" s="17" t="s">
        <v>135</v>
      </c>
    </row>
    <row r="349" spans="1:3" ht="15" customHeight="1" x14ac:dyDescent="0.25">
      <c r="A349" s="5" t="s">
        <v>130</v>
      </c>
      <c r="B349" s="17" t="s">
        <v>131</v>
      </c>
    </row>
    <row r="350" spans="1:3" ht="15" customHeight="1" x14ac:dyDescent="0.25">
      <c r="A350" s="22" t="s">
        <v>216</v>
      </c>
      <c r="B350" s="19" t="s">
        <v>218</v>
      </c>
    </row>
    <row r="351" spans="1:3" ht="15" customHeight="1" x14ac:dyDescent="0.25">
      <c r="A351" s="22" t="s">
        <v>215</v>
      </c>
      <c r="B351" s="19" t="s">
        <v>217</v>
      </c>
    </row>
    <row r="352" spans="1:3" ht="15" customHeight="1" x14ac:dyDescent="0.25">
      <c r="A352" s="22" t="s">
        <v>328</v>
      </c>
      <c r="B352" s="19" t="s">
        <v>67</v>
      </c>
    </row>
    <row r="353" spans="1:3" ht="15" customHeight="1" x14ac:dyDescent="0.25">
      <c r="A353" s="22" t="s">
        <v>329</v>
      </c>
      <c r="B353" s="19" t="s">
        <v>64</v>
      </c>
    </row>
    <row r="354" spans="1:3" ht="15" customHeight="1" x14ac:dyDescent="0.25">
      <c r="A354" s="22" t="s">
        <v>354</v>
      </c>
      <c r="B354" s="19" t="s">
        <v>63</v>
      </c>
    </row>
    <row r="355" spans="1:3" ht="15" customHeight="1" x14ac:dyDescent="0.25">
      <c r="A355" s="24">
        <v>148550</v>
      </c>
      <c r="B355" s="10" t="s">
        <v>391</v>
      </c>
    </row>
    <row r="356" spans="1:3" ht="15" customHeight="1" x14ac:dyDescent="0.25">
      <c r="A356" s="5">
        <v>670145</v>
      </c>
      <c r="B356" s="17" t="s">
        <v>184</v>
      </c>
    </row>
    <row r="357" spans="1:3" ht="15" customHeight="1" x14ac:dyDescent="0.25">
      <c r="A357" s="22" t="s">
        <v>259</v>
      </c>
      <c r="B357" s="10" t="s">
        <v>258</v>
      </c>
    </row>
    <row r="358" spans="1:3" ht="15" customHeight="1" x14ac:dyDescent="0.25">
      <c r="A358" s="24" t="s">
        <v>349</v>
      </c>
      <c r="B358" s="10" t="s">
        <v>73</v>
      </c>
    </row>
    <row r="359" spans="1:3" ht="15" customHeight="1" x14ac:dyDescent="0.25">
      <c r="A359" s="24" t="s">
        <v>389</v>
      </c>
      <c r="B359" s="10" t="s">
        <v>388</v>
      </c>
    </row>
    <row r="360" spans="1:3" ht="15" customHeight="1" x14ac:dyDescent="0.25">
      <c r="A360" s="24" t="s">
        <v>397</v>
      </c>
      <c r="B360" s="10" t="s">
        <v>398</v>
      </c>
    </row>
    <row r="361" spans="1:3" s="1" customFormat="1" ht="15" customHeight="1" x14ac:dyDescent="0.3">
      <c r="A361" s="23"/>
      <c r="B361" s="14"/>
      <c r="C361" s="34"/>
    </row>
    <row r="362" spans="1:3" s="26" customFormat="1" ht="15" customHeight="1" x14ac:dyDescent="0.25">
      <c r="A362" s="23"/>
      <c r="B362" s="25" t="s">
        <v>55</v>
      </c>
      <c r="C362" s="34"/>
    </row>
    <row r="363" spans="1:3" s="2" customFormat="1" ht="15" customHeight="1" x14ac:dyDescent="0.25">
      <c r="A363" s="23"/>
      <c r="B363" s="12"/>
      <c r="C363" s="34"/>
    </row>
    <row r="364" spans="1:3" ht="15" customHeight="1" x14ac:dyDescent="0.25">
      <c r="A364" s="22" t="s">
        <v>215</v>
      </c>
      <c r="B364" s="19" t="s">
        <v>217</v>
      </c>
    </row>
    <row r="365" spans="1:3" ht="15" customHeight="1" x14ac:dyDescent="0.25">
      <c r="A365" s="5" t="s">
        <v>134</v>
      </c>
      <c r="B365" s="17" t="s">
        <v>135</v>
      </c>
    </row>
    <row r="366" spans="1:3" ht="15" customHeight="1" x14ac:dyDescent="0.25">
      <c r="A366" s="22" t="s">
        <v>354</v>
      </c>
      <c r="B366" s="19" t="s">
        <v>63</v>
      </c>
    </row>
    <row r="367" spans="1:3" ht="15" customHeight="1" x14ac:dyDescent="0.25">
      <c r="A367" s="24">
        <v>148550</v>
      </c>
      <c r="B367" s="10" t="s">
        <v>391</v>
      </c>
    </row>
    <row r="368" spans="1:3" ht="15" customHeight="1" x14ac:dyDescent="0.25">
      <c r="A368" s="5">
        <v>670145</v>
      </c>
      <c r="B368" s="17" t="s">
        <v>184</v>
      </c>
    </row>
    <row r="369" spans="1:3" ht="15" customHeight="1" x14ac:dyDescent="0.25">
      <c r="A369" s="22" t="s">
        <v>259</v>
      </c>
      <c r="B369" s="10" t="s">
        <v>258</v>
      </c>
    </row>
    <row r="370" spans="1:3" ht="15" customHeight="1" x14ac:dyDescent="0.25">
      <c r="A370" s="24" t="s">
        <v>349</v>
      </c>
      <c r="B370" s="10" t="s">
        <v>73</v>
      </c>
    </row>
    <row r="371" spans="1:3" ht="15" customHeight="1" x14ac:dyDescent="0.25">
      <c r="A371" s="24" t="s">
        <v>389</v>
      </c>
      <c r="B371" s="10" t="s">
        <v>388</v>
      </c>
    </row>
    <row r="372" spans="1:3" ht="15" customHeight="1" x14ac:dyDescent="0.25">
      <c r="A372" s="24" t="s">
        <v>397</v>
      </c>
      <c r="B372" s="10" t="s">
        <v>398</v>
      </c>
    </row>
    <row r="373" spans="1:3" s="2" customFormat="1" ht="15" customHeight="1" x14ac:dyDescent="0.25">
      <c r="A373" s="23"/>
      <c r="B373" s="12"/>
      <c r="C373" s="34"/>
    </row>
    <row r="374" spans="1:3" s="26" customFormat="1" ht="15" customHeight="1" x14ac:dyDescent="0.25">
      <c r="A374" s="23"/>
      <c r="B374" s="25" t="s">
        <v>56</v>
      </c>
      <c r="C374" s="34"/>
    </row>
    <row r="375" spans="1:3" s="1" customFormat="1" ht="15" customHeight="1" x14ac:dyDescent="0.3">
      <c r="A375" s="23"/>
      <c r="B375" s="14"/>
      <c r="C375" s="34"/>
    </row>
    <row r="376" spans="1:3" ht="15" customHeight="1" x14ac:dyDescent="0.25">
      <c r="A376" s="5" t="s">
        <v>134</v>
      </c>
      <c r="B376" s="17" t="s">
        <v>135</v>
      </c>
    </row>
    <row r="377" spans="1:3" ht="15" customHeight="1" x14ac:dyDescent="0.25">
      <c r="A377" s="22" t="s">
        <v>358</v>
      </c>
      <c r="B377" s="19" t="s">
        <v>357</v>
      </c>
    </row>
    <row r="378" spans="1:3" ht="15" customHeight="1" x14ac:dyDescent="0.25">
      <c r="A378" s="5" t="s">
        <v>159</v>
      </c>
      <c r="B378" s="17" t="s">
        <v>160</v>
      </c>
    </row>
    <row r="379" spans="1:3" ht="15" customHeight="1" x14ac:dyDescent="0.25">
      <c r="A379" s="24">
        <v>246410</v>
      </c>
      <c r="B379" s="10" t="s">
        <v>392</v>
      </c>
    </row>
    <row r="380" spans="1:3" ht="15" customHeight="1" x14ac:dyDescent="0.25">
      <c r="A380" s="5">
        <v>670145</v>
      </c>
      <c r="B380" s="17" t="s">
        <v>184</v>
      </c>
    </row>
    <row r="381" spans="1:3" ht="15" customHeight="1" x14ac:dyDescent="0.25">
      <c r="A381" s="5" t="s">
        <v>120</v>
      </c>
      <c r="B381" s="18" t="s">
        <v>121</v>
      </c>
    </row>
    <row r="382" spans="1:3" s="1" customFormat="1" ht="15" customHeight="1" x14ac:dyDescent="0.3">
      <c r="A382" s="23"/>
      <c r="B382" s="14"/>
      <c r="C382" s="34"/>
    </row>
    <row r="383" spans="1:3" s="29" customFormat="1" ht="15" customHeight="1" x14ac:dyDescent="0.25">
      <c r="A383" s="23"/>
      <c r="B383" s="27" t="s">
        <v>11</v>
      </c>
      <c r="C383" s="34"/>
    </row>
    <row r="384" spans="1:3" s="1" customFormat="1" ht="15" customHeight="1" x14ac:dyDescent="0.3">
      <c r="A384" s="23"/>
      <c r="B384" s="13"/>
      <c r="C384" s="34"/>
    </row>
    <row r="385" spans="1:3" s="26" customFormat="1" ht="15" customHeight="1" x14ac:dyDescent="0.25">
      <c r="A385" s="23"/>
      <c r="B385" s="25" t="s">
        <v>57</v>
      </c>
      <c r="C385" s="34"/>
    </row>
    <row r="386" spans="1:3" s="2" customFormat="1" ht="15" customHeight="1" x14ac:dyDescent="0.25">
      <c r="A386" s="23"/>
      <c r="B386" s="15"/>
      <c r="C386" s="34"/>
    </row>
    <row r="387" spans="1:3" s="2" customFormat="1" ht="15" customHeight="1" x14ac:dyDescent="0.25">
      <c r="A387" s="24" t="s">
        <v>350</v>
      </c>
      <c r="B387" s="10" t="s">
        <v>351</v>
      </c>
      <c r="C387" s="34"/>
    </row>
    <row r="388" spans="1:3" s="2" customFormat="1" ht="15" customHeight="1" x14ac:dyDescent="0.25">
      <c r="A388" s="22">
        <v>862608</v>
      </c>
      <c r="B388" s="10" t="s">
        <v>319</v>
      </c>
      <c r="C388" s="34"/>
    </row>
    <row r="389" spans="1:3" s="2" customFormat="1" ht="15" customHeight="1" x14ac:dyDescent="0.25">
      <c r="A389" s="22" t="s">
        <v>205</v>
      </c>
      <c r="B389" s="10" t="s">
        <v>206</v>
      </c>
      <c r="C389" s="34"/>
    </row>
    <row r="390" spans="1:3" s="2" customFormat="1" ht="15" customHeight="1" x14ac:dyDescent="0.25">
      <c r="A390" s="23"/>
      <c r="B390" s="15"/>
      <c r="C390" s="34"/>
    </row>
    <row r="391" spans="1:3" s="26" customFormat="1" ht="15" customHeight="1" x14ac:dyDescent="0.25">
      <c r="A391" s="23"/>
      <c r="B391" s="25" t="s">
        <v>68</v>
      </c>
      <c r="C391" s="34"/>
    </row>
    <row r="392" spans="1:3" s="1" customFormat="1" ht="15" customHeight="1" x14ac:dyDescent="0.3">
      <c r="A392" s="23"/>
      <c r="B392" s="13"/>
      <c r="C392" s="34"/>
    </row>
    <row r="393" spans="1:3" s="1" customFormat="1" ht="15" customHeight="1" x14ac:dyDescent="0.3">
      <c r="A393" s="22" t="s">
        <v>451</v>
      </c>
      <c r="B393" s="10" t="s">
        <v>421</v>
      </c>
      <c r="C393" s="34"/>
    </row>
    <row r="394" spans="1:3" s="1" customFormat="1" ht="15" customHeight="1" x14ac:dyDescent="0.3">
      <c r="A394" s="5" t="s">
        <v>134</v>
      </c>
      <c r="B394" s="17" t="s">
        <v>135</v>
      </c>
      <c r="C394" s="34"/>
    </row>
    <row r="395" spans="1:3" s="1" customFormat="1" ht="15" customHeight="1" x14ac:dyDescent="0.3">
      <c r="A395" s="22" t="s">
        <v>358</v>
      </c>
      <c r="B395" s="19" t="s">
        <v>357</v>
      </c>
      <c r="C395" s="34"/>
    </row>
    <row r="396" spans="1:3" s="1" customFormat="1" ht="15" customHeight="1" x14ac:dyDescent="0.3">
      <c r="A396" s="22" t="s">
        <v>382</v>
      </c>
      <c r="B396" s="10" t="s">
        <v>381</v>
      </c>
      <c r="C396" s="34"/>
    </row>
    <row r="397" spans="1:3" s="1" customFormat="1" ht="15" customHeight="1" x14ac:dyDescent="0.3">
      <c r="A397" s="22" t="s">
        <v>186</v>
      </c>
      <c r="B397" s="16" t="s">
        <v>185</v>
      </c>
      <c r="C397" s="34"/>
    </row>
    <row r="398" spans="1:3" s="1" customFormat="1" ht="15" customHeight="1" x14ac:dyDescent="0.3">
      <c r="A398" s="22" t="s">
        <v>269</v>
      </c>
      <c r="B398" s="10" t="s">
        <v>268</v>
      </c>
      <c r="C398" s="34"/>
    </row>
    <row r="399" spans="1:3" s="1" customFormat="1" ht="15" customHeight="1" x14ac:dyDescent="0.3">
      <c r="A399" s="24" t="s">
        <v>399</v>
      </c>
      <c r="B399" s="10" t="s">
        <v>400</v>
      </c>
      <c r="C399" s="34"/>
    </row>
    <row r="400" spans="1:3" s="1" customFormat="1" ht="15" customHeight="1" x14ac:dyDescent="0.3">
      <c r="A400" s="24">
        <v>865848</v>
      </c>
      <c r="B400" s="10" t="s">
        <v>465</v>
      </c>
      <c r="C400" s="34"/>
    </row>
    <row r="401" spans="1:3" s="1" customFormat="1" ht="15" customHeight="1" x14ac:dyDescent="0.3">
      <c r="A401" s="23"/>
      <c r="B401" s="13"/>
      <c r="C401" s="34"/>
    </row>
    <row r="402" spans="1:3" s="26" customFormat="1" ht="15" customHeight="1" x14ac:dyDescent="0.25">
      <c r="A402" s="23"/>
      <c r="B402" s="25" t="s">
        <v>58</v>
      </c>
      <c r="C402" s="34"/>
    </row>
    <row r="403" spans="1:3" s="1" customFormat="1" ht="15" customHeight="1" x14ac:dyDescent="0.3">
      <c r="A403" s="23"/>
      <c r="B403" s="13"/>
      <c r="C403" s="34"/>
    </row>
    <row r="404" spans="1:3" s="1" customFormat="1" ht="15" customHeight="1" x14ac:dyDescent="0.3">
      <c r="A404" s="22" t="s">
        <v>451</v>
      </c>
      <c r="B404" s="10" t="s">
        <v>421</v>
      </c>
      <c r="C404" s="34"/>
    </row>
    <row r="405" spans="1:3" s="1" customFormat="1" ht="15" customHeight="1" x14ac:dyDescent="0.3">
      <c r="A405" s="22" t="s">
        <v>358</v>
      </c>
      <c r="B405" s="19" t="s">
        <v>357</v>
      </c>
      <c r="C405" s="34"/>
    </row>
    <row r="406" spans="1:3" s="1" customFormat="1" ht="15" customHeight="1" x14ac:dyDescent="0.3">
      <c r="A406" s="22" t="s">
        <v>382</v>
      </c>
      <c r="B406" s="10" t="s">
        <v>381</v>
      </c>
      <c r="C406" s="34"/>
    </row>
    <row r="407" spans="1:3" s="1" customFormat="1" ht="15" customHeight="1" x14ac:dyDescent="0.3">
      <c r="A407" s="5" t="s">
        <v>134</v>
      </c>
      <c r="B407" s="17" t="s">
        <v>135</v>
      </c>
      <c r="C407" s="34"/>
    </row>
    <row r="408" spans="1:3" s="1" customFormat="1" ht="15" customHeight="1" x14ac:dyDescent="0.3">
      <c r="A408" s="22" t="s">
        <v>440</v>
      </c>
      <c r="B408" s="19" t="s">
        <v>111</v>
      </c>
      <c r="C408" s="34"/>
    </row>
    <row r="409" spans="1:3" s="1" customFormat="1" ht="15" customHeight="1" x14ac:dyDescent="0.3">
      <c r="A409" s="5" t="s">
        <v>181</v>
      </c>
      <c r="B409" s="17" t="s">
        <v>23</v>
      </c>
      <c r="C409" s="34"/>
    </row>
    <row r="410" spans="1:3" s="1" customFormat="1" ht="15" customHeight="1" x14ac:dyDescent="0.3">
      <c r="A410" s="23"/>
      <c r="B410" s="13" t="s">
        <v>69</v>
      </c>
      <c r="C410" s="34"/>
    </row>
    <row r="411" spans="1:3" s="1" customFormat="1" ht="15" customHeight="1" x14ac:dyDescent="0.3">
      <c r="A411" s="5" t="s">
        <v>124</v>
      </c>
      <c r="B411" s="20" t="s">
        <v>125</v>
      </c>
      <c r="C411" s="34"/>
    </row>
    <row r="412" spans="1:3" s="1" customFormat="1" ht="15" customHeight="1" x14ac:dyDescent="0.3">
      <c r="A412" s="24" t="s">
        <v>373</v>
      </c>
      <c r="B412" s="10" t="s">
        <v>374</v>
      </c>
      <c r="C412" s="34"/>
    </row>
    <row r="413" spans="1:3" s="1" customFormat="1" ht="15" customHeight="1" x14ac:dyDescent="0.3">
      <c r="A413" s="24" t="s">
        <v>350</v>
      </c>
      <c r="B413" s="10" t="s">
        <v>351</v>
      </c>
      <c r="C413" s="34"/>
    </row>
    <row r="414" spans="1:3" s="1" customFormat="1" ht="15" customHeight="1" x14ac:dyDescent="0.3">
      <c r="A414" s="23"/>
      <c r="B414" s="13"/>
      <c r="C414" s="34"/>
    </row>
    <row r="415" spans="1:3" s="29" customFormat="1" ht="15" customHeight="1" x14ac:dyDescent="0.25">
      <c r="A415" s="23"/>
      <c r="B415" s="27" t="s">
        <v>12</v>
      </c>
      <c r="C415" s="34"/>
    </row>
    <row r="416" spans="1:3" s="1" customFormat="1" ht="15" customHeight="1" x14ac:dyDescent="0.3">
      <c r="A416" s="23"/>
      <c r="B416" s="13"/>
      <c r="C416" s="34"/>
    </row>
    <row r="417" spans="1:3" s="26" customFormat="1" ht="15" customHeight="1" x14ac:dyDescent="0.25">
      <c r="A417" s="23"/>
      <c r="B417" s="25" t="s">
        <v>45</v>
      </c>
      <c r="C417" s="34"/>
    </row>
    <row r="418" spans="1:3" s="2" customFormat="1" ht="15" customHeight="1" x14ac:dyDescent="0.25">
      <c r="A418" s="23"/>
      <c r="B418" s="15"/>
      <c r="C418" s="34"/>
    </row>
    <row r="419" spans="1:3" s="4" customFormat="1" ht="15" customHeight="1" x14ac:dyDescent="0.25">
      <c r="A419" s="5" t="s">
        <v>132</v>
      </c>
      <c r="B419" s="17" t="s">
        <v>133</v>
      </c>
      <c r="C419" s="34"/>
    </row>
    <row r="420" spans="1:3" s="4" customFormat="1" ht="15" customHeight="1" x14ac:dyDescent="0.25">
      <c r="A420" s="5" t="s">
        <v>219</v>
      </c>
      <c r="B420" s="20" t="s">
        <v>220</v>
      </c>
      <c r="C420" s="34"/>
    </row>
    <row r="421" spans="1:3" s="4" customFormat="1" ht="15" customHeight="1" x14ac:dyDescent="0.25">
      <c r="A421" s="5" t="s">
        <v>173</v>
      </c>
      <c r="B421" s="20" t="s">
        <v>174</v>
      </c>
      <c r="C421" s="34"/>
    </row>
    <row r="422" spans="1:3" s="4" customFormat="1" ht="15" customHeight="1" x14ac:dyDescent="0.25">
      <c r="A422" s="23"/>
      <c r="B422" s="19" t="s">
        <v>70</v>
      </c>
      <c r="C422" s="34"/>
    </row>
    <row r="423" spans="1:3" s="4" customFormat="1" ht="15" customHeight="1" x14ac:dyDescent="0.25">
      <c r="A423" s="23"/>
      <c r="B423" s="19" t="s">
        <v>71</v>
      </c>
      <c r="C423" s="34"/>
    </row>
    <row r="424" spans="1:3" s="1" customFormat="1" ht="15" customHeight="1" x14ac:dyDescent="0.3">
      <c r="A424" s="23"/>
      <c r="B424" s="13"/>
      <c r="C424" s="34"/>
    </row>
    <row r="425" spans="1:3" s="26" customFormat="1" ht="15" customHeight="1" x14ac:dyDescent="0.25">
      <c r="A425" s="23"/>
      <c r="B425" s="25" t="s">
        <v>72</v>
      </c>
      <c r="C425" s="34"/>
    </row>
    <row r="426" spans="1:3" s="2" customFormat="1" ht="15" customHeight="1" x14ac:dyDescent="0.25">
      <c r="A426" s="23"/>
      <c r="B426" s="15"/>
      <c r="C426" s="34"/>
    </row>
    <row r="427" spans="1:3" s="4" customFormat="1" ht="15" customHeight="1" x14ac:dyDescent="0.25">
      <c r="A427" s="24">
        <v>542200</v>
      </c>
      <c r="B427" s="10" t="s">
        <v>355</v>
      </c>
      <c r="C427" s="34"/>
    </row>
    <row r="428" spans="1:3" s="1" customFormat="1" ht="15" customHeight="1" x14ac:dyDescent="0.3">
      <c r="A428" s="23"/>
      <c r="B428" s="13"/>
      <c r="C428" s="34"/>
    </row>
    <row r="429" spans="1:3" s="26" customFormat="1" ht="15" customHeight="1" x14ac:dyDescent="0.25">
      <c r="A429" s="23"/>
      <c r="B429" s="25" t="s">
        <v>46</v>
      </c>
      <c r="C429" s="34"/>
    </row>
    <row r="430" spans="1:3" s="2" customFormat="1" ht="15" customHeight="1" x14ac:dyDescent="0.25">
      <c r="A430" s="23"/>
      <c r="B430" s="15"/>
      <c r="C430" s="34"/>
    </row>
    <row r="431" spans="1:3" s="4" customFormat="1" ht="15" customHeight="1" x14ac:dyDescent="0.25">
      <c r="A431" s="22" t="s">
        <v>451</v>
      </c>
      <c r="B431" s="10" t="s">
        <v>421</v>
      </c>
      <c r="C431" s="34"/>
    </row>
    <row r="432" spans="1:3" s="4" customFormat="1" ht="15" customHeight="1" x14ac:dyDescent="0.25">
      <c r="A432" s="22" t="s">
        <v>467</v>
      </c>
      <c r="B432" s="10" t="s">
        <v>468</v>
      </c>
      <c r="C432" s="34"/>
    </row>
    <row r="433" spans="1:3" s="4" customFormat="1" ht="15" customHeight="1" x14ac:dyDescent="0.25">
      <c r="A433" s="5" t="s">
        <v>151</v>
      </c>
      <c r="B433" s="17" t="s">
        <v>152</v>
      </c>
      <c r="C433" s="34"/>
    </row>
    <row r="434" spans="1:3" s="4" customFormat="1" ht="15" customHeight="1" x14ac:dyDescent="0.25">
      <c r="A434" s="5" t="s">
        <v>219</v>
      </c>
      <c r="B434" s="20" t="s">
        <v>220</v>
      </c>
      <c r="C434" s="34"/>
    </row>
    <row r="435" spans="1:3" s="4" customFormat="1" ht="15" customHeight="1" x14ac:dyDescent="0.25">
      <c r="A435" s="24" t="s">
        <v>350</v>
      </c>
      <c r="B435" s="10" t="s">
        <v>351</v>
      </c>
      <c r="C435" s="34"/>
    </row>
    <row r="436" spans="1:3" s="4" customFormat="1" ht="15" customHeight="1" x14ac:dyDescent="0.25">
      <c r="A436" s="24" t="s">
        <v>373</v>
      </c>
      <c r="B436" s="10" t="s">
        <v>374</v>
      </c>
      <c r="C436" s="34"/>
    </row>
    <row r="437" spans="1:3" s="4" customFormat="1" ht="15" customHeight="1" x14ac:dyDescent="0.25">
      <c r="A437" s="24" t="s">
        <v>470</v>
      </c>
      <c r="B437" s="10" t="s">
        <v>471</v>
      </c>
      <c r="C437" s="34"/>
    </row>
    <row r="438" spans="1:3" s="1" customFormat="1" ht="15" customHeight="1" x14ac:dyDescent="0.3">
      <c r="A438" s="23"/>
      <c r="B438" s="13"/>
      <c r="C438" s="34"/>
    </row>
    <row r="439" spans="1:3" s="26" customFormat="1" ht="15" customHeight="1" x14ac:dyDescent="0.25">
      <c r="A439" s="23"/>
      <c r="B439" s="25" t="s">
        <v>74</v>
      </c>
      <c r="C439" s="34"/>
    </row>
    <row r="440" spans="1:3" s="1" customFormat="1" ht="15" customHeight="1" x14ac:dyDescent="0.3">
      <c r="A440" s="23"/>
      <c r="B440" s="13"/>
      <c r="C440" s="34"/>
    </row>
    <row r="441" spans="1:3" s="1" customFormat="1" ht="15" customHeight="1" x14ac:dyDescent="0.3">
      <c r="A441" s="24">
        <v>542200</v>
      </c>
      <c r="B441" s="10" t="s">
        <v>355</v>
      </c>
      <c r="C441" s="34"/>
    </row>
    <row r="442" spans="1:3" s="1" customFormat="1" ht="15" customHeight="1" x14ac:dyDescent="0.3">
      <c r="A442" s="5" t="s">
        <v>130</v>
      </c>
      <c r="B442" s="17" t="s">
        <v>131</v>
      </c>
      <c r="C442" s="34"/>
    </row>
    <row r="443" spans="1:3" s="1" customFormat="1" ht="15" customHeight="1" x14ac:dyDescent="0.3">
      <c r="A443" s="22" t="s">
        <v>325</v>
      </c>
      <c r="B443" s="19" t="s">
        <v>85</v>
      </c>
      <c r="C443" s="34"/>
    </row>
    <row r="444" spans="1:3" s="1" customFormat="1" ht="15" customHeight="1" x14ac:dyDescent="0.3">
      <c r="A444" s="22" t="s">
        <v>328</v>
      </c>
      <c r="B444" s="19" t="s">
        <v>67</v>
      </c>
      <c r="C444" s="34"/>
    </row>
    <row r="445" spans="1:3" s="1" customFormat="1" ht="15" customHeight="1" x14ac:dyDescent="0.3">
      <c r="A445" s="22" t="s">
        <v>354</v>
      </c>
      <c r="B445" s="19" t="s">
        <v>63</v>
      </c>
      <c r="C445" s="34"/>
    </row>
    <row r="446" spans="1:3" s="1" customFormat="1" ht="15" customHeight="1" x14ac:dyDescent="0.3">
      <c r="A446" s="22" t="s">
        <v>214</v>
      </c>
      <c r="B446" s="10" t="s">
        <v>213</v>
      </c>
      <c r="C446" s="34"/>
    </row>
    <row r="447" spans="1:3" s="1" customFormat="1" ht="15" customHeight="1" x14ac:dyDescent="0.3">
      <c r="A447" s="24" t="s">
        <v>373</v>
      </c>
      <c r="B447" s="10" t="s">
        <v>374</v>
      </c>
      <c r="C447" s="34"/>
    </row>
    <row r="448" spans="1:3" s="1" customFormat="1" ht="15" customHeight="1" x14ac:dyDescent="0.3">
      <c r="A448" s="23"/>
      <c r="B448" s="13"/>
      <c r="C448" s="34"/>
    </row>
    <row r="449" spans="1:3" s="26" customFormat="1" ht="15" customHeight="1" x14ac:dyDescent="0.25">
      <c r="A449" s="23"/>
      <c r="B449" s="25" t="s">
        <v>84</v>
      </c>
      <c r="C449" s="34"/>
    </row>
    <row r="450" spans="1:3" s="1" customFormat="1" ht="15" customHeight="1" x14ac:dyDescent="0.3">
      <c r="A450" s="23"/>
      <c r="B450" s="13"/>
      <c r="C450" s="34"/>
    </row>
    <row r="451" spans="1:3" s="1" customFormat="1" ht="15" customHeight="1" x14ac:dyDescent="0.3">
      <c r="A451" s="22" t="s">
        <v>450</v>
      </c>
      <c r="B451" s="31" t="s">
        <v>449</v>
      </c>
      <c r="C451" s="34"/>
    </row>
    <row r="452" spans="1:3" s="1" customFormat="1" ht="15" customHeight="1" x14ac:dyDescent="0.3">
      <c r="A452" s="22" t="s">
        <v>439</v>
      </c>
      <c r="B452" s="10" t="s">
        <v>359</v>
      </c>
      <c r="C452" s="34"/>
    </row>
    <row r="453" spans="1:3" s="1" customFormat="1" ht="15" customHeight="1" x14ac:dyDescent="0.3">
      <c r="A453" s="22" t="s">
        <v>386</v>
      </c>
      <c r="B453" s="10" t="s">
        <v>385</v>
      </c>
      <c r="C453" s="34"/>
    </row>
    <row r="454" spans="1:3" s="1" customFormat="1" ht="15" customHeight="1" x14ac:dyDescent="0.3">
      <c r="A454" s="6" t="s">
        <v>161</v>
      </c>
      <c r="B454" s="18" t="s">
        <v>162</v>
      </c>
      <c r="C454" s="34"/>
    </row>
    <row r="455" spans="1:3" s="1" customFormat="1" ht="15" customHeight="1" x14ac:dyDescent="0.3">
      <c r="A455" s="5" t="s">
        <v>134</v>
      </c>
      <c r="B455" s="17" t="s">
        <v>135</v>
      </c>
      <c r="C455" s="34"/>
    </row>
    <row r="456" spans="1:3" s="1" customFormat="1" ht="15" customHeight="1" x14ac:dyDescent="0.3">
      <c r="A456" s="22" t="s">
        <v>212</v>
      </c>
      <c r="B456" s="19" t="s">
        <v>88</v>
      </c>
      <c r="C456" s="34"/>
    </row>
    <row r="457" spans="1:3" s="1" customFormat="1" ht="15" customHeight="1" x14ac:dyDescent="0.3">
      <c r="A457" s="22" t="s">
        <v>327</v>
      </c>
      <c r="B457" s="19" t="s">
        <v>86</v>
      </c>
      <c r="C457" s="34"/>
    </row>
    <row r="458" spans="1:3" s="1" customFormat="1" ht="15" customHeight="1" x14ac:dyDescent="0.3">
      <c r="A458" s="22" t="s">
        <v>332</v>
      </c>
      <c r="B458" s="19" t="s">
        <v>34</v>
      </c>
      <c r="C458" s="34"/>
    </row>
    <row r="459" spans="1:3" s="1" customFormat="1" ht="15" customHeight="1" x14ac:dyDescent="0.3">
      <c r="A459" s="5" t="s">
        <v>153</v>
      </c>
      <c r="B459" s="17" t="s">
        <v>154</v>
      </c>
      <c r="C459" s="34"/>
    </row>
    <row r="460" spans="1:3" s="1" customFormat="1" ht="15" customHeight="1" x14ac:dyDescent="0.3">
      <c r="A460" s="22" t="s">
        <v>382</v>
      </c>
      <c r="B460" s="10" t="s">
        <v>381</v>
      </c>
      <c r="C460" s="34"/>
    </row>
    <row r="461" spans="1:3" s="1" customFormat="1" ht="15" customHeight="1" x14ac:dyDescent="0.3">
      <c r="A461" s="22" t="s">
        <v>445</v>
      </c>
      <c r="B461" s="10" t="s">
        <v>446</v>
      </c>
      <c r="C461" s="34"/>
    </row>
    <row r="462" spans="1:3" s="1" customFormat="1" ht="15" customHeight="1" x14ac:dyDescent="0.3">
      <c r="A462" s="22" t="s">
        <v>448</v>
      </c>
      <c r="B462" s="10" t="s">
        <v>414</v>
      </c>
      <c r="C462" s="34"/>
    </row>
    <row r="463" spans="1:3" s="1" customFormat="1" ht="15" customHeight="1" x14ac:dyDescent="0.3">
      <c r="A463" s="22">
        <v>850408</v>
      </c>
      <c r="B463" s="10" t="s">
        <v>255</v>
      </c>
      <c r="C463" s="34"/>
    </row>
    <row r="464" spans="1:3" s="1" customFormat="1" ht="15" customHeight="1" x14ac:dyDescent="0.3">
      <c r="A464" s="5" t="s">
        <v>173</v>
      </c>
      <c r="B464" s="20" t="s">
        <v>174</v>
      </c>
      <c r="C464" s="34"/>
    </row>
    <row r="465" spans="1:3" s="1" customFormat="1" ht="15" customHeight="1" x14ac:dyDescent="0.3">
      <c r="A465" s="24" t="s">
        <v>350</v>
      </c>
      <c r="B465" s="10" t="s">
        <v>351</v>
      </c>
      <c r="C465" s="34"/>
    </row>
    <row r="466" spans="1:3" s="1" customFormat="1" ht="15" customHeight="1" x14ac:dyDescent="0.3">
      <c r="A466" s="23"/>
      <c r="B466" s="13"/>
      <c r="C466" s="34"/>
    </row>
    <row r="467" spans="1:3" s="26" customFormat="1" ht="15" customHeight="1" x14ac:dyDescent="0.25">
      <c r="A467" s="23"/>
      <c r="B467" s="25" t="s">
        <v>75</v>
      </c>
      <c r="C467" s="34"/>
    </row>
    <row r="468" spans="1:3" s="2" customFormat="1" ht="15" customHeight="1" x14ac:dyDescent="0.25">
      <c r="A468" s="23"/>
      <c r="B468" s="15"/>
      <c r="C468" s="34"/>
    </row>
    <row r="469" spans="1:3" s="2" customFormat="1" ht="15" customHeight="1" x14ac:dyDescent="0.25">
      <c r="A469" s="24">
        <v>542200</v>
      </c>
      <c r="B469" s="10" t="s">
        <v>355</v>
      </c>
      <c r="C469" s="34"/>
    </row>
    <row r="470" spans="1:3" s="2" customFormat="1" ht="15" customHeight="1" x14ac:dyDescent="0.25">
      <c r="A470" s="22" t="s">
        <v>439</v>
      </c>
      <c r="B470" s="10" t="s">
        <v>359</v>
      </c>
      <c r="C470" s="34"/>
    </row>
    <row r="471" spans="1:3" s="2" customFormat="1" ht="15" customHeight="1" x14ac:dyDescent="0.25">
      <c r="A471" s="22" t="s">
        <v>386</v>
      </c>
      <c r="B471" s="10" t="s">
        <v>385</v>
      </c>
      <c r="C471" s="34"/>
    </row>
    <row r="472" spans="1:3" s="2" customFormat="1" ht="15" customHeight="1" x14ac:dyDescent="0.25">
      <c r="A472" s="6" t="s">
        <v>161</v>
      </c>
      <c r="B472" s="18" t="s">
        <v>162</v>
      </c>
      <c r="C472" s="34"/>
    </row>
    <row r="473" spans="1:3" s="2" customFormat="1" ht="15" customHeight="1" x14ac:dyDescent="0.25">
      <c r="A473" s="5" t="s">
        <v>130</v>
      </c>
      <c r="B473" s="17" t="s">
        <v>131</v>
      </c>
      <c r="C473" s="34"/>
    </row>
    <row r="474" spans="1:3" s="2" customFormat="1" ht="15" customHeight="1" x14ac:dyDescent="0.25">
      <c r="A474" s="22" t="s">
        <v>325</v>
      </c>
      <c r="B474" s="19" t="s">
        <v>85</v>
      </c>
      <c r="C474" s="34"/>
    </row>
    <row r="475" spans="1:3" s="2" customFormat="1" ht="15" customHeight="1" x14ac:dyDescent="0.25">
      <c r="A475" s="22" t="s">
        <v>328</v>
      </c>
      <c r="B475" s="19" t="s">
        <v>67</v>
      </c>
      <c r="C475" s="34"/>
    </row>
    <row r="476" spans="1:3" s="2" customFormat="1" ht="15" customHeight="1" x14ac:dyDescent="0.25">
      <c r="A476" s="5" t="s">
        <v>153</v>
      </c>
      <c r="B476" s="17" t="s">
        <v>154</v>
      </c>
      <c r="C476" s="34"/>
    </row>
    <row r="477" spans="1:3" s="2" customFormat="1" ht="15" customHeight="1" x14ac:dyDescent="0.25">
      <c r="A477" s="22" t="s">
        <v>354</v>
      </c>
      <c r="B477" s="19" t="s">
        <v>63</v>
      </c>
      <c r="C477" s="34"/>
    </row>
    <row r="478" spans="1:3" s="2" customFormat="1" ht="15" customHeight="1" x14ac:dyDescent="0.25">
      <c r="A478" s="22" t="s">
        <v>445</v>
      </c>
      <c r="B478" s="10" t="s">
        <v>446</v>
      </c>
      <c r="C478" s="34"/>
    </row>
    <row r="479" spans="1:3" s="2" customFormat="1" ht="15" customHeight="1" x14ac:dyDescent="0.25">
      <c r="A479" s="22" t="s">
        <v>214</v>
      </c>
      <c r="B479" s="10" t="s">
        <v>213</v>
      </c>
      <c r="C479" s="34"/>
    </row>
    <row r="480" spans="1:3" s="2" customFormat="1" ht="15" customHeight="1" x14ac:dyDescent="0.25">
      <c r="A480" s="5" t="s">
        <v>173</v>
      </c>
      <c r="B480" s="20" t="s">
        <v>174</v>
      </c>
      <c r="C480" s="34"/>
    </row>
    <row r="481" spans="1:3" s="2" customFormat="1" ht="15" customHeight="1" x14ac:dyDescent="0.25">
      <c r="A481" s="24" t="s">
        <v>350</v>
      </c>
      <c r="B481" s="10" t="s">
        <v>351</v>
      </c>
      <c r="C481" s="34"/>
    </row>
    <row r="482" spans="1:3" s="1" customFormat="1" ht="15" customHeight="1" x14ac:dyDescent="0.3">
      <c r="A482" s="23"/>
      <c r="B482" s="13"/>
      <c r="C482" s="34"/>
    </row>
    <row r="483" spans="1:3" s="26" customFormat="1" ht="15" customHeight="1" x14ac:dyDescent="0.25">
      <c r="A483" s="23"/>
      <c r="B483" s="25" t="s">
        <v>76</v>
      </c>
      <c r="C483" s="34"/>
    </row>
    <row r="484" spans="1:3" s="1" customFormat="1" ht="15" customHeight="1" x14ac:dyDescent="0.3">
      <c r="A484" s="23"/>
      <c r="B484" s="13"/>
      <c r="C484" s="34"/>
    </row>
    <row r="485" spans="1:3" s="1" customFormat="1" ht="15" customHeight="1" x14ac:dyDescent="0.3">
      <c r="A485" s="22" t="s">
        <v>358</v>
      </c>
      <c r="B485" s="19" t="s">
        <v>357</v>
      </c>
      <c r="C485" s="34"/>
    </row>
    <row r="486" spans="1:3" s="1" customFormat="1" ht="15" customHeight="1" x14ac:dyDescent="0.3">
      <c r="A486" s="22" t="s">
        <v>382</v>
      </c>
      <c r="B486" s="10" t="s">
        <v>381</v>
      </c>
      <c r="C486" s="34"/>
    </row>
    <row r="487" spans="1:3" s="1" customFormat="1" ht="15" customHeight="1" x14ac:dyDescent="0.3">
      <c r="A487" s="22" t="s">
        <v>456</v>
      </c>
      <c r="B487" s="10" t="s">
        <v>356</v>
      </c>
      <c r="C487" s="34"/>
    </row>
    <row r="488" spans="1:3" s="1" customFormat="1" ht="15" customHeight="1" x14ac:dyDescent="0.3">
      <c r="A488" s="22" t="s">
        <v>451</v>
      </c>
      <c r="B488" s="10" t="s">
        <v>421</v>
      </c>
      <c r="C488" s="34"/>
    </row>
    <row r="489" spans="1:3" s="1" customFormat="1" ht="15" customHeight="1" x14ac:dyDescent="0.3">
      <c r="A489" s="6" t="s">
        <v>140</v>
      </c>
      <c r="B489" s="20" t="s">
        <v>141</v>
      </c>
      <c r="C489" s="34"/>
    </row>
    <row r="490" spans="1:3" s="1" customFormat="1" ht="15" customHeight="1" x14ac:dyDescent="0.3">
      <c r="A490" s="22" t="s">
        <v>315</v>
      </c>
      <c r="B490" s="10" t="s">
        <v>316</v>
      </c>
      <c r="C490" s="34"/>
    </row>
    <row r="491" spans="1:3" s="1" customFormat="1" ht="15" customHeight="1" x14ac:dyDescent="0.3">
      <c r="A491" s="22" t="s">
        <v>279</v>
      </c>
      <c r="B491" s="10" t="s">
        <v>280</v>
      </c>
      <c r="C491" s="34"/>
    </row>
    <row r="492" spans="1:3" s="1" customFormat="1" ht="15" customHeight="1" x14ac:dyDescent="0.3">
      <c r="A492" s="22" t="s">
        <v>282</v>
      </c>
      <c r="B492" s="10" t="s">
        <v>281</v>
      </c>
      <c r="C492" s="34"/>
    </row>
    <row r="493" spans="1:3" s="1" customFormat="1" ht="15" customHeight="1" x14ac:dyDescent="0.3">
      <c r="A493" s="5" t="s">
        <v>219</v>
      </c>
      <c r="B493" s="20" t="s">
        <v>220</v>
      </c>
      <c r="C493" s="34"/>
    </row>
    <row r="494" spans="1:3" s="1" customFormat="1" ht="15" customHeight="1" x14ac:dyDescent="0.3">
      <c r="A494" s="22" t="s">
        <v>186</v>
      </c>
      <c r="B494" s="16" t="s">
        <v>185</v>
      </c>
      <c r="C494" s="34"/>
    </row>
    <row r="495" spans="1:3" s="1" customFormat="1" ht="15" customHeight="1" x14ac:dyDescent="0.3">
      <c r="A495" s="24" t="s">
        <v>339</v>
      </c>
      <c r="B495" s="10" t="s">
        <v>340</v>
      </c>
      <c r="C495" s="34"/>
    </row>
    <row r="496" spans="1:3" s="1" customFormat="1" ht="15" customHeight="1" x14ac:dyDescent="0.3">
      <c r="A496" s="24" t="s">
        <v>333</v>
      </c>
      <c r="B496" s="10" t="s">
        <v>334</v>
      </c>
      <c r="C496" s="34"/>
    </row>
    <row r="497" spans="1:3" s="1" customFormat="1" ht="15" customHeight="1" x14ac:dyDescent="0.3">
      <c r="A497" s="24" t="s">
        <v>349</v>
      </c>
      <c r="B497" s="10" t="s">
        <v>73</v>
      </c>
      <c r="C497" s="34"/>
    </row>
    <row r="498" spans="1:3" s="1" customFormat="1" ht="15" customHeight="1" x14ac:dyDescent="0.3">
      <c r="A498" s="24" t="s">
        <v>350</v>
      </c>
      <c r="B498" s="10" t="s">
        <v>351</v>
      </c>
      <c r="C498" s="34"/>
    </row>
    <row r="499" spans="1:3" s="1" customFormat="1" ht="15" customHeight="1" x14ac:dyDescent="0.3">
      <c r="A499" s="24" t="s">
        <v>373</v>
      </c>
      <c r="B499" s="10" t="s">
        <v>374</v>
      </c>
      <c r="C499" s="34"/>
    </row>
    <row r="500" spans="1:3" s="1" customFormat="1" ht="15" customHeight="1" x14ac:dyDescent="0.3">
      <c r="A500" s="24" t="s">
        <v>379</v>
      </c>
      <c r="B500" s="10" t="s">
        <v>380</v>
      </c>
      <c r="C500" s="34"/>
    </row>
    <row r="501" spans="1:3" s="1" customFormat="1" ht="15" customHeight="1" x14ac:dyDescent="0.3">
      <c r="A501" s="23"/>
      <c r="B501" s="13"/>
      <c r="C501" s="34"/>
    </row>
    <row r="502" spans="1:3" s="29" customFormat="1" ht="15" customHeight="1" x14ac:dyDescent="0.25">
      <c r="A502" s="23"/>
      <c r="B502" s="27" t="s">
        <v>13</v>
      </c>
      <c r="C502" s="34"/>
    </row>
    <row r="503" spans="1:3" s="1" customFormat="1" ht="15" customHeight="1" x14ac:dyDescent="0.3">
      <c r="A503" s="23"/>
      <c r="B503" s="13"/>
      <c r="C503" s="34"/>
    </row>
    <row r="504" spans="1:3" s="26" customFormat="1" ht="15" customHeight="1" x14ac:dyDescent="0.25">
      <c r="A504" s="23"/>
      <c r="B504" s="25" t="s">
        <v>77</v>
      </c>
      <c r="C504" s="34"/>
    </row>
    <row r="505" spans="1:3" s="1" customFormat="1" ht="15" customHeight="1" x14ac:dyDescent="0.3">
      <c r="A505" s="23"/>
      <c r="B505" s="13"/>
      <c r="C505" s="34"/>
    </row>
    <row r="506" spans="1:3" s="1" customFormat="1" ht="15" customHeight="1" x14ac:dyDescent="0.3">
      <c r="A506" s="22" t="s">
        <v>330</v>
      </c>
      <c r="B506" s="19" t="s">
        <v>87</v>
      </c>
      <c r="C506" s="34"/>
    </row>
    <row r="507" spans="1:3" s="1" customFormat="1" ht="15" customHeight="1" x14ac:dyDescent="0.3">
      <c r="A507" s="22" t="s">
        <v>382</v>
      </c>
      <c r="B507" s="10" t="s">
        <v>381</v>
      </c>
      <c r="C507" s="34"/>
    </row>
    <row r="508" spans="1:3" s="1" customFormat="1" ht="15" customHeight="1" x14ac:dyDescent="0.3">
      <c r="A508" s="22" t="s">
        <v>402</v>
      </c>
      <c r="B508" s="10" t="s">
        <v>401</v>
      </c>
      <c r="C508" s="34"/>
    </row>
    <row r="509" spans="1:3" s="1" customFormat="1" ht="15" customHeight="1" x14ac:dyDescent="0.3">
      <c r="A509" s="22" t="s">
        <v>445</v>
      </c>
      <c r="B509" s="10" t="s">
        <v>446</v>
      </c>
      <c r="C509" s="34"/>
    </row>
    <row r="510" spans="1:3" s="1" customFormat="1" ht="15" customHeight="1" x14ac:dyDescent="0.3">
      <c r="A510" s="22" t="s">
        <v>448</v>
      </c>
      <c r="B510" s="10" t="s">
        <v>447</v>
      </c>
      <c r="C510" s="34"/>
    </row>
    <row r="511" spans="1:3" s="1" customFormat="1" ht="15" customHeight="1" x14ac:dyDescent="0.3">
      <c r="A511" s="22" t="s">
        <v>450</v>
      </c>
      <c r="B511" s="31" t="s">
        <v>449</v>
      </c>
      <c r="C511" s="34"/>
    </row>
    <row r="512" spans="1:3" s="1" customFormat="1" ht="15" customHeight="1" x14ac:dyDescent="0.3">
      <c r="A512" s="22" t="s">
        <v>243</v>
      </c>
      <c r="B512" s="10" t="s">
        <v>242</v>
      </c>
      <c r="C512" s="34"/>
    </row>
    <row r="513" spans="1:3" s="1" customFormat="1" ht="15" customHeight="1" x14ac:dyDescent="0.3">
      <c r="A513" s="5" t="s">
        <v>126</v>
      </c>
      <c r="B513" s="17" t="s">
        <v>127</v>
      </c>
      <c r="C513" s="34"/>
    </row>
    <row r="514" spans="1:3" s="1" customFormat="1" ht="15" customHeight="1" x14ac:dyDescent="0.3">
      <c r="A514" s="24" t="s">
        <v>350</v>
      </c>
      <c r="B514" s="10" t="s">
        <v>351</v>
      </c>
      <c r="C514" s="34"/>
    </row>
    <row r="515" spans="1:3" s="1" customFormat="1" ht="15" customHeight="1" x14ac:dyDescent="0.3">
      <c r="A515" s="23"/>
      <c r="B515" s="13"/>
      <c r="C515" s="34"/>
    </row>
    <row r="516" spans="1:3" s="26" customFormat="1" ht="15" customHeight="1" x14ac:dyDescent="0.25">
      <c r="A516" s="23"/>
      <c r="B516" s="25" t="s">
        <v>78</v>
      </c>
      <c r="C516" s="34"/>
    </row>
    <row r="517" spans="1:3" s="1" customFormat="1" ht="15" customHeight="1" x14ac:dyDescent="0.3">
      <c r="A517" s="23"/>
      <c r="B517" s="13"/>
      <c r="C517" s="34"/>
    </row>
    <row r="518" spans="1:3" s="1" customFormat="1" ht="15" customHeight="1" x14ac:dyDescent="0.3">
      <c r="A518" s="22" t="s">
        <v>358</v>
      </c>
      <c r="B518" s="19" t="s">
        <v>357</v>
      </c>
      <c r="C518" s="34"/>
    </row>
    <row r="519" spans="1:3" s="1" customFormat="1" ht="15" customHeight="1" x14ac:dyDescent="0.3">
      <c r="A519" s="22" t="s">
        <v>366</v>
      </c>
      <c r="B519" s="10" t="s">
        <v>365</v>
      </c>
      <c r="C519" s="34"/>
    </row>
    <row r="520" spans="1:3" s="1" customFormat="1" ht="15" customHeight="1" x14ac:dyDescent="0.3">
      <c r="A520" s="22" t="s">
        <v>451</v>
      </c>
      <c r="B520" s="10" t="s">
        <v>421</v>
      </c>
      <c r="C520" s="34"/>
    </row>
    <row r="521" spans="1:3" s="1" customFormat="1" ht="15" customHeight="1" x14ac:dyDescent="0.3">
      <c r="A521" s="5" t="s">
        <v>128</v>
      </c>
      <c r="B521" s="20" t="s">
        <v>129</v>
      </c>
      <c r="C521" s="34"/>
    </row>
    <row r="522" spans="1:3" s="1" customFormat="1" ht="15" customHeight="1" x14ac:dyDescent="0.3">
      <c r="A522" s="24" t="s">
        <v>373</v>
      </c>
      <c r="B522" s="10" t="s">
        <v>374</v>
      </c>
      <c r="C522" s="34"/>
    </row>
    <row r="523" spans="1:3" s="1" customFormat="1" ht="15" customHeight="1" x14ac:dyDescent="0.3">
      <c r="A523" s="24" t="s">
        <v>399</v>
      </c>
      <c r="B523" s="10" t="s">
        <v>400</v>
      </c>
      <c r="C523" s="34"/>
    </row>
    <row r="524" spans="1:3" s="1" customFormat="1" ht="15" customHeight="1" x14ac:dyDescent="0.3">
      <c r="A524" s="23"/>
      <c r="B524" s="13"/>
      <c r="C524" s="34"/>
    </row>
    <row r="525" spans="1:3" s="26" customFormat="1" ht="15" customHeight="1" x14ac:dyDescent="0.25">
      <c r="A525" s="23"/>
      <c r="B525" s="25" t="s">
        <v>79</v>
      </c>
      <c r="C525" s="34"/>
    </row>
    <row r="526" spans="1:3" s="1" customFormat="1" ht="15" customHeight="1" x14ac:dyDescent="0.3">
      <c r="A526" s="23"/>
      <c r="B526" s="13"/>
      <c r="C526" s="34"/>
    </row>
    <row r="527" spans="1:3" s="1" customFormat="1" ht="15" customHeight="1" x14ac:dyDescent="0.3">
      <c r="A527" s="22" t="s">
        <v>358</v>
      </c>
      <c r="B527" s="19" t="s">
        <v>357</v>
      </c>
      <c r="C527" s="34"/>
    </row>
    <row r="528" spans="1:3" s="1" customFormat="1" ht="15" customHeight="1" x14ac:dyDescent="0.3">
      <c r="A528" s="22" t="s">
        <v>366</v>
      </c>
      <c r="B528" s="10" t="s">
        <v>365</v>
      </c>
      <c r="C528" s="34"/>
    </row>
    <row r="529" spans="1:3" s="1" customFormat="1" ht="15" customHeight="1" x14ac:dyDescent="0.3">
      <c r="A529" s="22" t="s">
        <v>451</v>
      </c>
      <c r="B529" s="10" t="s">
        <v>421</v>
      </c>
      <c r="C529" s="34"/>
    </row>
    <row r="530" spans="1:3" s="1" customFormat="1" ht="15" customHeight="1" x14ac:dyDescent="0.3">
      <c r="A530" s="6" t="s">
        <v>140</v>
      </c>
      <c r="B530" s="20" t="s">
        <v>141</v>
      </c>
      <c r="C530" s="34"/>
    </row>
    <row r="531" spans="1:3" s="1" customFormat="1" ht="15" customHeight="1" x14ac:dyDescent="0.3">
      <c r="A531" s="6" t="s">
        <v>142</v>
      </c>
      <c r="B531" s="20" t="s">
        <v>143</v>
      </c>
      <c r="C531" s="34"/>
    </row>
    <row r="532" spans="1:3" s="1" customFormat="1" ht="15" customHeight="1" x14ac:dyDescent="0.3">
      <c r="A532" s="5" t="s">
        <v>128</v>
      </c>
      <c r="B532" s="20" t="s">
        <v>129</v>
      </c>
      <c r="C532" s="34"/>
    </row>
    <row r="533" spans="1:3" s="1" customFormat="1" ht="15" customHeight="1" x14ac:dyDescent="0.3">
      <c r="A533" s="22" t="s">
        <v>273</v>
      </c>
      <c r="B533" s="19" t="s">
        <v>272</v>
      </c>
      <c r="C533" s="34"/>
    </row>
    <row r="534" spans="1:3" s="1" customFormat="1" ht="15" customHeight="1" x14ac:dyDescent="0.3">
      <c r="A534" s="24" t="s">
        <v>350</v>
      </c>
      <c r="B534" s="10" t="s">
        <v>351</v>
      </c>
      <c r="C534" s="34"/>
    </row>
    <row r="535" spans="1:3" s="1" customFormat="1" ht="15" customHeight="1" x14ac:dyDescent="0.3">
      <c r="A535" s="24" t="s">
        <v>373</v>
      </c>
      <c r="B535" s="10" t="s">
        <v>374</v>
      </c>
      <c r="C535" s="34"/>
    </row>
    <row r="536" spans="1:3" s="1" customFormat="1" ht="15" customHeight="1" x14ac:dyDescent="0.3">
      <c r="A536" s="24" t="s">
        <v>399</v>
      </c>
      <c r="B536" s="10" t="s">
        <v>400</v>
      </c>
      <c r="C536" s="34"/>
    </row>
    <row r="537" spans="1:3" s="1" customFormat="1" ht="15" customHeight="1" x14ac:dyDescent="0.3">
      <c r="A537" s="23"/>
      <c r="B537" s="13"/>
      <c r="C537" s="34"/>
    </row>
    <row r="538" spans="1:3" s="26" customFormat="1" ht="15" customHeight="1" x14ac:dyDescent="0.25">
      <c r="A538" s="23"/>
      <c r="B538" s="25" t="s">
        <v>80</v>
      </c>
      <c r="C538" s="34"/>
    </row>
    <row r="539" spans="1:3" s="1" customFormat="1" ht="15" customHeight="1" x14ac:dyDescent="0.3">
      <c r="A539" s="23"/>
      <c r="B539" s="13"/>
      <c r="C539" s="34"/>
    </row>
    <row r="540" spans="1:3" s="1" customFormat="1" ht="15" customHeight="1" x14ac:dyDescent="0.3">
      <c r="A540" s="22" t="s">
        <v>358</v>
      </c>
      <c r="B540" s="19" t="s">
        <v>357</v>
      </c>
      <c r="C540" s="34"/>
    </row>
    <row r="541" spans="1:3" ht="15" customHeight="1" x14ac:dyDescent="0.25">
      <c r="A541" s="6" t="s">
        <v>163</v>
      </c>
      <c r="B541" s="18" t="s">
        <v>164</v>
      </c>
    </row>
    <row r="542" spans="1:3" s="1" customFormat="1" ht="15" customHeight="1" x14ac:dyDescent="0.3">
      <c r="A542" s="5" t="s">
        <v>144</v>
      </c>
      <c r="B542" s="20" t="s">
        <v>145</v>
      </c>
      <c r="C542" s="34"/>
    </row>
    <row r="543" spans="1:3" s="1" customFormat="1" ht="15" customHeight="1" x14ac:dyDescent="0.3">
      <c r="A543" s="24" t="s">
        <v>333</v>
      </c>
      <c r="B543" s="10" t="s">
        <v>334</v>
      </c>
      <c r="C543" s="34"/>
    </row>
    <row r="544" spans="1:3" s="1" customFormat="1" ht="15" customHeight="1" x14ac:dyDescent="0.3">
      <c r="A544" s="24" t="s">
        <v>350</v>
      </c>
      <c r="B544" s="10" t="s">
        <v>351</v>
      </c>
      <c r="C544" s="34"/>
    </row>
    <row r="545" spans="1:3" s="1" customFormat="1" ht="15" customHeight="1" x14ac:dyDescent="0.3">
      <c r="A545" s="22" t="s">
        <v>335</v>
      </c>
      <c r="B545" s="19" t="s">
        <v>336</v>
      </c>
      <c r="C545" s="34"/>
    </row>
    <row r="546" spans="1:3" s="1" customFormat="1" ht="15" customHeight="1" x14ac:dyDescent="0.3">
      <c r="A546" s="24" t="s">
        <v>337</v>
      </c>
      <c r="B546" s="10" t="s">
        <v>338</v>
      </c>
      <c r="C546" s="34"/>
    </row>
    <row r="547" spans="1:3" s="1" customFormat="1" ht="15" customHeight="1" x14ac:dyDescent="0.3">
      <c r="A547" s="24" t="s">
        <v>399</v>
      </c>
      <c r="B547" s="10" t="s">
        <v>400</v>
      </c>
      <c r="C547" s="34"/>
    </row>
    <row r="548" spans="1:3" s="1" customFormat="1" ht="15" customHeight="1" x14ac:dyDescent="0.3">
      <c r="A548" s="23"/>
      <c r="B548" s="13"/>
      <c r="C548" s="34"/>
    </row>
    <row r="549" spans="1:3" s="26" customFormat="1" ht="15" customHeight="1" x14ac:dyDescent="0.25">
      <c r="A549" s="23"/>
      <c r="B549" s="25" t="s">
        <v>81</v>
      </c>
      <c r="C549" s="34"/>
    </row>
    <row r="550" spans="1:3" s="1" customFormat="1" ht="15" customHeight="1" x14ac:dyDescent="0.3">
      <c r="A550" s="23"/>
      <c r="B550" s="13"/>
      <c r="C550" s="34"/>
    </row>
    <row r="551" spans="1:3" s="1" customFormat="1" ht="15" customHeight="1" x14ac:dyDescent="0.3">
      <c r="A551" s="5" t="s">
        <v>153</v>
      </c>
      <c r="B551" s="17" t="s">
        <v>154</v>
      </c>
      <c r="C551" s="34"/>
    </row>
    <row r="552" spans="1:3" s="1" customFormat="1" ht="15" customHeight="1" x14ac:dyDescent="0.3">
      <c r="A552" s="22" t="s">
        <v>439</v>
      </c>
      <c r="B552" s="10" t="s">
        <v>359</v>
      </c>
      <c r="C552" s="34"/>
    </row>
    <row r="553" spans="1:3" s="1" customFormat="1" ht="15" customHeight="1" x14ac:dyDescent="0.3">
      <c r="A553" s="22" t="s">
        <v>386</v>
      </c>
      <c r="B553" s="10" t="s">
        <v>385</v>
      </c>
      <c r="C553" s="34"/>
    </row>
    <row r="554" spans="1:3" s="1" customFormat="1" ht="15" customHeight="1" x14ac:dyDescent="0.3">
      <c r="A554" s="6" t="s">
        <v>161</v>
      </c>
      <c r="B554" s="18" t="s">
        <v>162</v>
      </c>
      <c r="C554" s="34"/>
    </row>
    <row r="555" spans="1:3" s="1" customFormat="1" ht="15" customHeight="1" x14ac:dyDescent="0.3">
      <c r="A555" s="5" t="s">
        <v>169</v>
      </c>
      <c r="B555" s="17" t="s">
        <v>170</v>
      </c>
      <c r="C555" s="34"/>
    </row>
    <row r="556" spans="1:3" s="1" customFormat="1" ht="15" customHeight="1" x14ac:dyDescent="0.3">
      <c r="A556" s="22" t="s">
        <v>212</v>
      </c>
      <c r="B556" s="19" t="s">
        <v>88</v>
      </c>
      <c r="C556" s="34"/>
    </row>
    <row r="557" spans="1:3" s="1" customFormat="1" ht="15" customHeight="1" x14ac:dyDescent="0.3">
      <c r="A557" s="22" t="s">
        <v>358</v>
      </c>
      <c r="B557" s="19" t="s">
        <v>357</v>
      </c>
      <c r="C557" s="34"/>
    </row>
    <row r="558" spans="1:3" s="1" customFormat="1" ht="15" customHeight="1" x14ac:dyDescent="0.3">
      <c r="A558" s="22" t="s">
        <v>382</v>
      </c>
      <c r="B558" s="10" t="s">
        <v>381</v>
      </c>
      <c r="C558" s="34"/>
    </row>
    <row r="559" spans="1:3" s="1" customFormat="1" ht="15" customHeight="1" x14ac:dyDescent="0.3">
      <c r="A559" s="22" t="s">
        <v>445</v>
      </c>
      <c r="B559" s="10" t="s">
        <v>446</v>
      </c>
      <c r="C559" s="34"/>
    </row>
    <row r="560" spans="1:3" s="1" customFormat="1" ht="15" customHeight="1" x14ac:dyDescent="0.3">
      <c r="A560" s="22" t="s">
        <v>448</v>
      </c>
      <c r="B560" s="10" t="s">
        <v>447</v>
      </c>
      <c r="C560" s="34"/>
    </row>
    <row r="561" spans="1:3" s="1" customFormat="1" ht="15" customHeight="1" x14ac:dyDescent="0.3">
      <c r="A561" s="22" t="s">
        <v>450</v>
      </c>
      <c r="B561" s="31" t="s">
        <v>449</v>
      </c>
      <c r="C561" s="34"/>
    </row>
    <row r="562" spans="1:3" s="1" customFormat="1" ht="15" customHeight="1" x14ac:dyDescent="0.3">
      <c r="A562" s="22" t="s">
        <v>267</v>
      </c>
      <c r="B562" s="10" t="s">
        <v>266</v>
      </c>
      <c r="C562" s="34"/>
    </row>
    <row r="563" spans="1:3" s="1" customFormat="1" ht="15" customHeight="1" x14ac:dyDescent="0.3">
      <c r="A563" s="24" t="s">
        <v>333</v>
      </c>
      <c r="B563" s="10" t="s">
        <v>334</v>
      </c>
      <c r="C563" s="34"/>
    </row>
    <row r="564" spans="1:3" s="1" customFormat="1" ht="15" customHeight="1" x14ac:dyDescent="0.3">
      <c r="A564" s="24" t="s">
        <v>399</v>
      </c>
      <c r="B564" s="10" t="s">
        <v>400</v>
      </c>
      <c r="C564" s="34"/>
    </row>
    <row r="565" spans="1:3" s="1" customFormat="1" ht="15" customHeight="1" x14ac:dyDescent="0.3">
      <c r="A565" s="23"/>
      <c r="B565" s="13"/>
      <c r="C565" s="34"/>
    </row>
    <row r="566" spans="1:3" s="26" customFormat="1" ht="15" customHeight="1" x14ac:dyDescent="0.25">
      <c r="A566" s="23"/>
      <c r="B566" s="25" t="s">
        <v>82</v>
      </c>
      <c r="C566" s="34"/>
    </row>
    <row r="567" spans="1:3" s="1" customFormat="1" ht="15" customHeight="1" x14ac:dyDescent="0.3">
      <c r="A567" s="23"/>
      <c r="B567" s="13"/>
      <c r="C567" s="34"/>
    </row>
    <row r="568" spans="1:3" s="1" customFormat="1" ht="15" customHeight="1" x14ac:dyDescent="0.3">
      <c r="A568" s="5" t="s">
        <v>153</v>
      </c>
      <c r="B568" s="17" t="s">
        <v>154</v>
      </c>
      <c r="C568" s="34"/>
    </row>
    <row r="569" spans="1:3" s="1" customFormat="1" ht="15" customHeight="1" x14ac:dyDescent="0.3">
      <c r="A569" s="22" t="s">
        <v>439</v>
      </c>
      <c r="B569" s="10" t="s">
        <v>359</v>
      </c>
      <c r="C569" s="34"/>
    </row>
    <row r="570" spans="1:3" s="1" customFormat="1" ht="15" customHeight="1" x14ac:dyDescent="0.3">
      <c r="A570" s="22" t="s">
        <v>386</v>
      </c>
      <c r="B570" s="10" t="s">
        <v>385</v>
      </c>
      <c r="C570" s="34"/>
    </row>
    <row r="571" spans="1:3" s="1" customFormat="1" ht="15" customHeight="1" x14ac:dyDescent="0.3">
      <c r="A571" s="6" t="s">
        <v>161</v>
      </c>
      <c r="B571" s="18" t="s">
        <v>162</v>
      </c>
      <c r="C571" s="34"/>
    </row>
    <row r="572" spans="1:3" s="1" customFormat="1" ht="15" customHeight="1" x14ac:dyDescent="0.3">
      <c r="A572" s="22" t="s">
        <v>445</v>
      </c>
      <c r="B572" s="10" t="s">
        <v>446</v>
      </c>
      <c r="C572" s="34"/>
    </row>
    <row r="573" spans="1:3" ht="15" customHeight="1" x14ac:dyDescent="0.25">
      <c r="A573" s="22" t="s">
        <v>212</v>
      </c>
      <c r="B573" s="19" t="s">
        <v>88</v>
      </c>
    </row>
    <row r="574" spans="1:3" ht="15" customHeight="1" x14ac:dyDescent="0.25">
      <c r="A574" s="5" t="s">
        <v>169</v>
      </c>
      <c r="B574" s="17" t="s">
        <v>170</v>
      </c>
    </row>
    <row r="575" spans="1:3" ht="15" customHeight="1" x14ac:dyDescent="0.25">
      <c r="A575" s="22" t="s">
        <v>325</v>
      </c>
      <c r="B575" s="19" t="s">
        <v>85</v>
      </c>
    </row>
    <row r="576" spans="1:3" ht="15" customHeight="1" x14ac:dyDescent="0.25">
      <c r="A576" s="22" t="s">
        <v>328</v>
      </c>
      <c r="B576" s="19" t="s">
        <v>67</v>
      </c>
    </row>
    <row r="577" spans="1:3" ht="15" customHeight="1" x14ac:dyDescent="0.25">
      <c r="A577" s="22" t="s">
        <v>329</v>
      </c>
      <c r="B577" s="19" t="s">
        <v>64</v>
      </c>
    </row>
    <row r="578" spans="1:3" ht="15" customHeight="1" x14ac:dyDescent="0.25">
      <c r="A578" s="22" t="s">
        <v>354</v>
      </c>
      <c r="B578" s="19" t="s">
        <v>63</v>
      </c>
    </row>
    <row r="579" spans="1:3" ht="15" customHeight="1" x14ac:dyDescent="0.25">
      <c r="A579" s="22" t="s">
        <v>358</v>
      </c>
      <c r="B579" s="19" t="s">
        <v>357</v>
      </c>
    </row>
    <row r="580" spans="1:3" ht="15" customHeight="1" x14ac:dyDescent="0.25">
      <c r="A580" s="24" t="s">
        <v>399</v>
      </c>
      <c r="B580" s="10" t="s">
        <v>400</v>
      </c>
    </row>
    <row r="581" spans="1:3" ht="15" customHeight="1" x14ac:dyDescent="0.25">
      <c r="A581" s="22" t="s">
        <v>267</v>
      </c>
      <c r="B581" s="10" t="s">
        <v>266</v>
      </c>
    </row>
    <row r="582" spans="1:3" ht="15" customHeight="1" x14ac:dyDescent="0.25">
      <c r="B582" s="19" t="s">
        <v>89</v>
      </c>
    </row>
    <row r="583" spans="1:3" ht="15" customHeight="1" x14ac:dyDescent="0.3">
      <c r="B583" s="11"/>
    </row>
    <row r="584" spans="1:3" s="29" customFormat="1" ht="15" customHeight="1" x14ac:dyDescent="0.25">
      <c r="A584" s="23"/>
      <c r="B584" s="27" t="s">
        <v>14</v>
      </c>
      <c r="C584" s="34"/>
    </row>
    <row r="585" spans="1:3" s="1" customFormat="1" ht="15" customHeight="1" x14ac:dyDescent="0.3">
      <c r="A585" s="23"/>
      <c r="B585" s="13"/>
      <c r="C585" s="34"/>
    </row>
    <row r="586" spans="1:3" s="26" customFormat="1" ht="15" customHeight="1" x14ac:dyDescent="0.25">
      <c r="A586" s="23"/>
      <c r="B586" s="25" t="s">
        <v>47</v>
      </c>
      <c r="C586" s="34"/>
    </row>
    <row r="587" spans="1:3" s="1" customFormat="1" ht="15" customHeight="1" x14ac:dyDescent="0.3">
      <c r="A587" s="23"/>
      <c r="B587" s="13"/>
      <c r="C587" s="34"/>
    </row>
    <row r="588" spans="1:3" s="1" customFormat="1" ht="15" customHeight="1" x14ac:dyDescent="0.3">
      <c r="A588" s="22">
        <v>321030</v>
      </c>
      <c r="B588" s="10" t="s">
        <v>310</v>
      </c>
      <c r="C588" s="34"/>
    </row>
    <row r="589" spans="1:3" s="1" customFormat="1" ht="15" customHeight="1" x14ac:dyDescent="0.3">
      <c r="A589" s="23"/>
      <c r="B589" s="19" t="s">
        <v>90</v>
      </c>
      <c r="C589" s="34"/>
    </row>
    <row r="590" spans="1:3" s="1" customFormat="1" ht="15" customHeight="1" x14ac:dyDescent="0.3">
      <c r="A590" s="23"/>
      <c r="B590" s="19" t="s">
        <v>91</v>
      </c>
      <c r="C590" s="34"/>
    </row>
    <row r="591" spans="1:3" s="1" customFormat="1" ht="15" customHeight="1" x14ac:dyDescent="0.3">
      <c r="A591" s="23"/>
      <c r="B591" s="13"/>
      <c r="C591" s="34"/>
    </row>
    <row r="592" spans="1:3" s="26" customFormat="1" ht="15" customHeight="1" x14ac:dyDescent="0.25">
      <c r="A592" s="23"/>
      <c r="B592" s="25" t="s">
        <v>83</v>
      </c>
      <c r="C592" s="34"/>
    </row>
    <row r="593" spans="1:3" s="1" customFormat="1" ht="15" customHeight="1" x14ac:dyDescent="0.3">
      <c r="A593" s="23"/>
      <c r="B593" s="13"/>
      <c r="C593" s="34"/>
    </row>
    <row r="594" spans="1:3" s="1" customFormat="1" ht="15" customHeight="1" x14ac:dyDescent="0.3">
      <c r="A594" s="22" t="s">
        <v>440</v>
      </c>
      <c r="B594" s="19" t="s">
        <v>111</v>
      </c>
      <c r="C594" s="34"/>
    </row>
    <row r="595" spans="1:3" s="1" customFormat="1" ht="15" customHeight="1" x14ac:dyDescent="0.3">
      <c r="A595" s="5" t="s">
        <v>181</v>
      </c>
      <c r="B595" s="17" t="s">
        <v>23</v>
      </c>
      <c r="C595" s="34"/>
    </row>
    <row r="596" spans="1:3" s="1" customFormat="1" ht="15" customHeight="1" x14ac:dyDescent="0.3">
      <c r="A596" s="22" t="s">
        <v>364</v>
      </c>
      <c r="B596" s="10" t="s">
        <v>363</v>
      </c>
      <c r="C596" s="34"/>
    </row>
    <row r="597" spans="1:3" s="1" customFormat="1" ht="15" customHeight="1" x14ac:dyDescent="0.3">
      <c r="A597" s="22" t="s">
        <v>422</v>
      </c>
      <c r="B597" s="10" t="s">
        <v>311</v>
      </c>
      <c r="C597" s="34"/>
    </row>
    <row r="598" spans="1:3" s="1" customFormat="1" ht="15" customHeight="1" x14ac:dyDescent="0.3">
      <c r="A598" s="22">
        <v>321030</v>
      </c>
      <c r="B598" s="10" t="s">
        <v>310</v>
      </c>
      <c r="C598" s="34"/>
    </row>
    <row r="599" spans="1:3" s="1" customFormat="1" ht="15" customHeight="1" x14ac:dyDescent="0.3">
      <c r="A599" s="24">
        <v>884778</v>
      </c>
      <c r="B599" s="10" t="s">
        <v>390</v>
      </c>
      <c r="C599" s="34"/>
    </row>
    <row r="600" spans="1:3" s="1" customFormat="1" ht="15" customHeight="1" x14ac:dyDescent="0.3">
      <c r="A600" s="5" t="s">
        <v>128</v>
      </c>
      <c r="B600" s="20" t="s">
        <v>129</v>
      </c>
      <c r="C600" s="34"/>
    </row>
    <row r="601" spans="1:3" s="1" customFormat="1" ht="15" customHeight="1" x14ac:dyDescent="0.3">
      <c r="A601" s="22" t="s">
        <v>279</v>
      </c>
      <c r="B601" s="10" t="s">
        <v>280</v>
      </c>
      <c r="C601" s="34"/>
    </row>
    <row r="602" spans="1:3" s="1" customFormat="1" ht="15" customHeight="1" x14ac:dyDescent="0.3">
      <c r="A602" s="22" t="s">
        <v>263</v>
      </c>
      <c r="B602" s="10" t="s">
        <v>262</v>
      </c>
      <c r="C602" s="34"/>
    </row>
    <row r="603" spans="1:3" s="1" customFormat="1" ht="15" customHeight="1" x14ac:dyDescent="0.3">
      <c r="A603" s="22" t="s">
        <v>308</v>
      </c>
      <c r="B603" s="10" t="s">
        <v>309</v>
      </c>
      <c r="C603" s="34"/>
    </row>
    <row r="604" spans="1:3" s="1" customFormat="1" ht="15" customHeight="1" x14ac:dyDescent="0.3">
      <c r="A604" s="24" t="s">
        <v>333</v>
      </c>
      <c r="B604" s="10" t="s">
        <v>334</v>
      </c>
      <c r="C604" s="34"/>
    </row>
    <row r="605" spans="1:3" s="1" customFormat="1" ht="15" customHeight="1" x14ac:dyDescent="0.3">
      <c r="A605" s="24" t="s">
        <v>373</v>
      </c>
      <c r="B605" s="10" t="s">
        <v>374</v>
      </c>
      <c r="C605" s="34"/>
    </row>
    <row r="606" spans="1:3" s="1" customFormat="1" ht="15" customHeight="1" x14ac:dyDescent="0.3">
      <c r="A606" s="23"/>
      <c r="B606" s="13"/>
      <c r="C606" s="34"/>
    </row>
    <row r="607" spans="1:3" s="29" customFormat="1" ht="15" customHeight="1" x14ac:dyDescent="0.25">
      <c r="A607" s="23"/>
      <c r="B607" s="27" t="s">
        <v>15</v>
      </c>
      <c r="C607" s="34"/>
    </row>
    <row r="608" spans="1:3" s="1" customFormat="1" ht="15" customHeight="1" x14ac:dyDescent="0.3">
      <c r="A608" s="23"/>
      <c r="B608" s="13"/>
      <c r="C608" s="34"/>
    </row>
    <row r="609" spans="1:3" s="26" customFormat="1" ht="15" customHeight="1" x14ac:dyDescent="0.25">
      <c r="A609" s="23"/>
      <c r="B609" s="25" t="s">
        <v>48</v>
      </c>
      <c r="C609" s="34"/>
    </row>
    <row r="610" spans="1:3" s="1" customFormat="1" ht="15" customHeight="1" x14ac:dyDescent="0.3">
      <c r="A610" s="23"/>
      <c r="B610" s="13"/>
      <c r="C610" s="34"/>
    </row>
    <row r="611" spans="1:3" s="1" customFormat="1" ht="15" customHeight="1" x14ac:dyDescent="0.3">
      <c r="A611" s="22">
        <v>526000</v>
      </c>
      <c r="B611" s="10" t="s">
        <v>322</v>
      </c>
      <c r="C611" s="34"/>
    </row>
    <row r="612" spans="1:3" s="1" customFormat="1" ht="15" customHeight="1" x14ac:dyDescent="0.3">
      <c r="A612" s="23"/>
      <c r="B612" s="13"/>
      <c r="C612" s="34"/>
    </row>
    <row r="613" spans="1:3" s="26" customFormat="1" ht="15" customHeight="1" x14ac:dyDescent="0.25">
      <c r="A613" s="23"/>
      <c r="B613" s="25" t="s">
        <v>49</v>
      </c>
      <c r="C613" s="34"/>
    </row>
    <row r="614" spans="1:3" s="1" customFormat="1" ht="15" customHeight="1" x14ac:dyDescent="0.3">
      <c r="A614" s="23"/>
      <c r="B614" s="13"/>
      <c r="C614" s="34"/>
    </row>
    <row r="615" spans="1:3" s="1" customFormat="1" ht="15" customHeight="1" x14ac:dyDescent="0.3">
      <c r="A615" s="22">
        <v>526000</v>
      </c>
      <c r="B615" s="10" t="s">
        <v>322</v>
      </c>
      <c r="C615" s="34"/>
    </row>
    <row r="616" spans="1:3" s="1" customFormat="1" ht="15" customHeight="1" x14ac:dyDescent="0.3">
      <c r="A616" s="23"/>
      <c r="B616" s="13"/>
      <c r="C616" s="34"/>
    </row>
    <row r="617" spans="1:3" s="26" customFormat="1" ht="15" customHeight="1" x14ac:dyDescent="0.25">
      <c r="A617" s="23"/>
      <c r="B617" s="25" t="s">
        <v>50</v>
      </c>
      <c r="C617" s="34"/>
    </row>
    <row r="618" spans="1:3" s="1" customFormat="1" ht="15" customHeight="1" x14ac:dyDescent="0.3">
      <c r="A618" s="23"/>
      <c r="B618" s="13"/>
      <c r="C618" s="34"/>
    </row>
    <row r="619" spans="1:3" s="1" customFormat="1" ht="15" customHeight="1" x14ac:dyDescent="0.3">
      <c r="A619" s="5" t="s">
        <v>132</v>
      </c>
      <c r="B619" s="17" t="s">
        <v>133</v>
      </c>
      <c r="C619" s="34"/>
    </row>
    <row r="620" spans="1:3" s="1" customFormat="1" ht="15" customHeight="1" x14ac:dyDescent="0.3">
      <c r="A620" s="5">
        <v>670145</v>
      </c>
      <c r="B620" s="17" t="s">
        <v>184</v>
      </c>
      <c r="C620" s="34"/>
    </row>
    <row r="621" spans="1:3" s="1" customFormat="1" ht="15" customHeight="1" x14ac:dyDescent="0.3">
      <c r="A621" s="5" t="s">
        <v>120</v>
      </c>
      <c r="B621" s="18" t="s">
        <v>121</v>
      </c>
      <c r="C621" s="34"/>
    </row>
    <row r="622" spans="1:3" s="1" customFormat="1" ht="15" customHeight="1" x14ac:dyDescent="0.3">
      <c r="A622" s="23"/>
      <c r="B622" s="13"/>
      <c r="C622" s="34"/>
    </row>
    <row r="623" spans="1:3" s="26" customFormat="1" ht="15" customHeight="1" x14ac:dyDescent="0.25">
      <c r="A623" s="23"/>
      <c r="B623" s="25" t="s">
        <v>92</v>
      </c>
      <c r="C623" s="34"/>
    </row>
    <row r="624" spans="1:3" s="1" customFormat="1" ht="15" customHeight="1" x14ac:dyDescent="0.3">
      <c r="A624" s="23"/>
      <c r="B624" s="13"/>
      <c r="C624" s="34"/>
    </row>
    <row r="625" spans="1:3" s="1" customFormat="1" ht="15" customHeight="1" x14ac:dyDescent="0.3">
      <c r="A625" s="22" t="s">
        <v>439</v>
      </c>
      <c r="B625" s="10" t="s">
        <v>359</v>
      </c>
      <c r="C625" s="34"/>
    </row>
    <row r="626" spans="1:3" s="1" customFormat="1" ht="15" customHeight="1" x14ac:dyDescent="0.3">
      <c r="A626" s="22" t="s">
        <v>386</v>
      </c>
      <c r="B626" s="10" t="s">
        <v>385</v>
      </c>
      <c r="C626" s="34"/>
    </row>
    <row r="627" spans="1:3" s="1" customFormat="1" ht="15" customHeight="1" x14ac:dyDescent="0.3">
      <c r="A627" s="6" t="s">
        <v>161</v>
      </c>
      <c r="B627" s="18" t="s">
        <v>162</v>
      </c>
      <c r="C627" s="34"/>
    </row>
    <row r="628" spans="1:3" s="1" customFormat="1" ht="15" customHeight="1" x14ac:dyDescent="0.3">
      <c r="A628" s="22" t="s">
        <v>440</v>
      </c>
      <c r="B628" s="19" t="s">
        <v>111</v>
      </c>
      <c r="C628" s="34"/>
    </row>
    <row r="629" spans="1:3" s="1" customFormat="1" ht="15" customHeight="1" x14ac:dyDescent="0.3">
      <c r="A629" s="5" t="s">
        <v>181</v>
      </c>
      <c r="B629" s="17" t="s">
        <v>23</v>
      </c>
      <c r="C629" s="34"/>
    </row>
    <row r="630" spans="1:3" s="1" customFormat="1" ht="15" customHeight="1" x14ac:dyDescent="0.3">
      <c r="A630" s="22" t="s">
        <v>323</v>
      </c>
      <c r="B630" s="10" t="s">
        <v>324</v>
      </c>
      <c r="C630" s="34"/>
    </row>
    <row r="631" spans="1:3" s="1" customFormat="1" ht="15" customHeight="1" x14ac:dyDescent="0.3">
      <c r="A631" s="22" t="s">
        <v>229</v>
      </c>
      <c r="B631" s="19" t="s">
        <v>230</v>
      </c>
      <c r="C631" s="34"/>
    </row>
    <row r="632" spans="1:3" s="1" customFormat="1" ht="15" customHeight="1" x14ac:dyDescent="0.3">
      <c r="A632" s="22" t="s">
        <v>232</v>
      </c>
      <c r="B632" s="10" t="s">
        <v>231</v>
      </c>
      <c r="C632" s="34"/>
    </row>
    <row r="633" spans="1:3" s="1" customFormat="1" ht="15" customHeight="1" x14ac:dyDescent="0.3">
      <c r="A633" s="22" t="s">
        <v>226</v>
      </c>
      <c r="B633" s="10" t="s">
        <v>225</v>
      </c>
      <c r="C633" s="34"/>
    </row>
    <row r="634" spans="1:3" s="1" customFormat="1" ht="15" customHeight="1" x14ac:dyDescent="0.3">
      <c r="A634" s="22" t="s">
        <v>451</v>
      </c>
      <c r="B634" s="10" t="s">
        <v>421</v>
      </c>
      <c r="C634" s="34"/>
    </row>
    <row r="635" spans="1:3" s="1" customFormat="1" ht="15" customHeight="1" x14ac:dyDescent="0.3">
      <c r="A635" s="22" t="s">
        <v>452</v>
      </c>
      <c r="B635" s="10" t="s">
        <v>453</v>
      </c>
      <c r="C635" s="34"/>
    </row>
    <row r="636" spans="1:3" s="1" customFormat="1" ht="15" customHeight="1" x14ac:dyDescent="0.3">
      <c r="A636" s="22" t="s">
        <v>282</v>
      </c>
      <c r="B636" s="10" t="s">
        <v>281</v>
      </c>
      <c r="C636" s="34"/>
    </row>
    <row r="637" spans="1:3" s="1" customFormat="1" ht="15" customHeight="1" x14ac:dyDescent="0.3">
      <c r="A637" s="24" t="s">
        <v>345</v>
      </c>
      <c r="B637" s="10" t="s">
        <v>346</v>
      </c>
      <c r="C637" s="34"/>
    </row>
    <row r="638" spans="1:3" s="1" customFormat="1" ht="15" customHeight="1" x14ac:dyDescent="0.3">
      <c r="A638" s="24" t="s">
        <v>350</v>
      </c>
      <c r="B638" s="10" t="s">
        <v>351</v>
      </c>
      <c r="C638" s="34"/>
    </row>
    <row r="639" spans="1:3" s="1" customFormat="1" ht="15" customHeight="1" x14ac:dyDescent="0.3">
      <c r="A639" s="23"/>
      <c r="B639" s="13"/>
      <c r="C639" s="34"/>
    </row>
    <row r="640" spans="1:3" s="26" customFormat="1" ht="15" customHeight="1" x14ac:dyDescent="0.25">
      <c r="A640" s="23"/>
      <c r="B640" s="25" t="s">
        <v>93</v>
      </c>
      <c r="C640" s="34"/>
    </row>
    <row r="641" spans="1:3" s="1" customFormat="1" ht="15" customHeight="1" x14ac:dyDescent="0.3">
      <c r="A641" s="23"/>
      <c r="B641" s="13"/>
      <c r="C641" s="34"/>
    </row>
    <row r="642" spans="1:3" s="1" customFormat="1" ht="15" customHeight="1" x14ac:dyDescent="0.3">
      <c r="A642" s="22" t="s">
        <v>358</v>
      </c>
      <c r="B642" s="19" t="s">
        <v>357</v>
      </c>
      <c r="C642" s="34"/>
    </row>
    <row r="643" spans="1:3" s="1" customFormat="1" ht="15" customHeight="1" x14ac:dyDescent="0.3">
      <c r="A643" s="22" t="s">
        <v>366</v>
      </c>
      <c r="B643" s="10" t="s">
        <v>365</v>
      </c>
      <c r="C643" s="34"/>
    </row>
    <row r="644" spans="1:3" s="1" customFormat="1" ht="15" customHeight="1" x14ac:dyDescent="0.3">
      <c r="A644" s="22" t="s">
        <v>451</v>
      </c>
      <c r="B644" s="10" t="s">
        <v>421</v>
      </c>
      <c r="C644" s="34"/>
    </row>
    <row r="645" spans="1:3" s="1" customFormat="1" ht="15" customHeight="1" x14ac:dyDescent="0.3">
      <c r="A645" s="5" t="s">
        <v>120</v>
      </c>
      <c r="B645" s="18" t="s">
        <v>121</v>
      </c>
      <c r="C645" s="34"/>
    </row>
    <row r="646" spans="1:3" s="1" customFormat="1" ht="15" customHeight="1" x14ac:dyDescent="0.3">
      <c r="A646" s="22" t="s">
        <v>276</v>
      </c>
      <c r="B646" s="13" t="s">
        <v>59</v>
      </c>
      <c r="C646" s="34"/>
    </row>
    <row r="647" spans="1:3" s="1" customFormat="1" ht="15" customHeight="1" x14ac:dyDescent="0.3">
      <c r="A647" s="22">
        <v>834558</v>
      </c>
      <c r="B647" s="10" t="s">
        <v>236</v>
      </c>
      <c r="C647" s="34"/>
    </row>
    <row r="648" spans="1:3" s="1" customFormat="1" ht="15" customHeight="1" x14ac:dyDescent="0.3">
      <c r="A648" s="22" t="s">
        <v>275</v>
      </c>
      <c r="B648" s="19" t="s">
        <v>60</v>
      </c>
      <c r="C648" s="34"/>
    </row>
    <row r="649" spans="1:3" s="1" customFormat="1" ht="15" customHeight="1" x14ac:dyDescent="0.3">
      <c r="A649" s="6" t="s">
        <v>138</v>
      </c>
      <c r="B649" s="20" t="s">
        <v>139</v>
      </c>
      <c r="C649" s="34"/>
    </row>
    <row r="650" spans="1:3" s="1" customFormat="1" ht="15" customHeight="1" x14ac:dyDescent="0.3">
      <c r="A650" s="22" t="s">
        <v>197</v>
      </c>
      <c r="B650" s="10" t="s">
        <v>198</v>
      </c>
      <c r="C650" s="34"/>
    </row>
    <row r="651" spans="1:3" s="1" customFormat="1" ht="15" customHeight="1" x14ac:dyDescent="0.3">
      <c r="A651" s="5" t="s">
        <v>114</v>
      </c>
      <c r="B651" s="17" t="s">
        <v>115</v>
      </c>
      <c r="C651" s="34"/>
    </row>
    <row r="652" spans="1:3" s="1" customFormat="1" ht="15" customHeight="1" x14ac:dyDescent="0.3">
      <c r="A652" s="5" t="s">
        <v>116</v>
      </c>
      <c r="B652" s="17" t="s">
        <v>117</v>
      </c>
      <c r="C652" s="34"/>
    </row>
    <row r="653" spans="1:3" s="1" customFormat="1" ht="15" customHeight="1" x14ac:dyDescent="0.3">
      <c r="A653" s="23"/>
      <c r="B653" s="13"/>
      <c r="C653" s="34"/>
    </row>
    <row r="654" spans="1:3" s="26" customFormat="1" ht="15" customHeight="1" x14ac:dyDescent="0.25">
      <c r="A654" s="23"/>
      <c r="B654" s="25" t="s">
        <v>94</v>
      </c>
      <c r="C654" s="34"/>
    </row>
    <row r="655" spans="1:3" s="1" customFormat="1" ht="15" customHeight="1" x14ac:dyDescent="0.3">
      <c r="A655" s="23"/>
      <c r="B655" s="13"/>
      <c r="C655" s="34"/>
    </row>
    <row r="656" spans="1:3" s="1" customFormat="1" ht="15" customHeight="1" x14ac:dyDescent="0.3">
      <c r="A656" s="5" t="s">
        <v>112</v>
      </c>
      <c r="B656" s="17" t="s">
        <v>113</v>
      </c>
      <c r="C656" s="34"/>
    </row>
    <row r="657" spans="1:3" s="1" customFormat="1" ht="15" customHeight="1" x14ac:dyDescent="0.3">
      <c r="A657" s="22" t="s">
        <v>358</v>
      </c>
      <c r="B657" s="19" t="s">
        <v>357</v>
      </c>
      <c r="C657" s="34"/>
    </row>
    <row r="658" spans="1:3" s="1" customFormat="1" ht="15" customHeight="1" x14ac:dyDescent="0.3">
      <c r="A658" s="6" t="s">
        <v>118</v>
      </c>
      <c r="B658" s="18" t="s">
        <v>119</v>
      </c>
      <c r="C658" s="34"/>
    </row>
    <row r="659" spans="1:3" s="1" customFormat="1" ht="15" customHeight="1" x14ac:dyDescent="0.3">
      <c r="A659" s="22" t="s">
        <v>228</v>
      </c>
      <c r="B659" s="10" t="s">
        <v>227</v>
      </c>
      <c r="C659" s="34"/>
    </row>
    <row r="660" spans="1:3" s="1" customFormat="1" ht="15" customHeight="1" x14ac:dyDescent="0.3">
      <c r="A660" s="5" t="s">
        <v>219</v>
      </c>
      <c r="B660" s="20" t="s">
        <v>220</v>
      </c>
      <c r="C660" s="34"/>
    </row>
    <row r="661" spans="1:3" s="1" customFormat="1" ht="15" customHeight="1" x14ac:dyDescent="0.3">
      <c r="A661" s="24" t="s">
        <v>339</v>
      </c>
      <c r="B661" s="10" t="s">
        <v>340</v>
      </c>
      <c r="C661" s="34"/>
    </row>
    <row r="662" spans="1:3" s="1" customFormat="1" ht="15" customHeight="1" x14ac:dyDescent="0.3">
      <c r="A662" s="5" t="s">
        <v>116</v>
      </c>
      <c r="B662" s="17" t="s">
        <v>117</v>
      </c>
      <c r="C662" s="34"/>
    </row>
    <row r="663" spans="1:3" s="1" customFormat="1" ht="15" customHeight="1" x14ac:dyDescent="0.3">
      <c r="A663" s="23"/>
      <c r="B663" s="13"/>
      <c r="C663" s="34"/>
    </row>
    <row r="664" spans="1:3" s="26" customFormat="1" ht="15" customHeight="1" x14ac:dyDescent="0.25">
      <c r="A664" s="23"/>
      <c r="B664" s="25" t="s">
        <v>95</v>
      </c>
      <c r="C664" s="34"/>
    </row>
    <row r="665" spans="1:3" s="1" customFormat="1" ht="15" customHeight="1" x14ac:dyDescent="0.3">
      <c r="A665" s="23"/>
      <c r="B665" s="13"/>
      <c r="C665" s="34"/>
    </row>
    <row r="666" spans="1:3" s="1" customFormat="1" ht="15" customHeight="1" x14ac:dyDescent="0.3">
      <c r="A666" s="22" t="s">
        <v>358</v>
      </c>
      <c r="B666" s="19" t="s">
        <v>357</v>
      </c>
      <c r="C666" s="34"/>
    </row>
    <row r="667" spans="1:3" s="1" customFormat="1" ht="15" customHeight="1" x14ac:dyDescent="0.3">
      <c r="A667" s="22" t="s">
        <v>366</v>
      </c>
      <c r="B667" s="10" t="s">
        <v>365</v>
      </c>
      <c r="C667" s="34"/>
    </row>
    <row r="668" spans="1:3" s="1" customFormat="1" ht="15" customHeight="1" x14ac:dyDescent="0.3">
      <c r="A668" s="6" t="s">
        <v>178</v>
      </c>
      <c r="B668" s="18" t="s">
        <v>102</v>
      </c>
      <c r="C668" s="34"/>
    </row>
    <row r="669" spans="1:3" s="1" customFormat="1" ht="15" customHeight="1" x14ac:dyDescent="0.3">
      <c r="A669" s="22" t="s">
        <v>451</v>
      </c>
      <c r="B669" s="10" t="s">
        <v>421</v>
      </c>
      <c r="C669" s="34"/>
    </row>
    <row r="670" spans="1:3" s="1" customFormat="1" ht="15" customHeight="1" x14ac:dyDescent="0.3">
      <c r="A670" s="5" t="s">
        <v>219</v>
      </c>
      <c r="B670" s="20" t="s">
        <v>220</v>
      </c>
      <c r="C670" s="34"/>
    </row>
    <row r="671" spans="1:3" s="1" customFormat="1" ht="15" customHeight="1" x14ac:dyDescent="0.3">
      <c r="A671" s="23"/>
      <c r="B671" s="13"/>
      <c r="C671" s="34"/>
    </row>
    <row r="672" spans="1:3" s="26" customFormat="1" ht="15" customHeight="1" x14ac:dyDescent="0.25">
      <c r="A672" s="23"/>
      <c r="B672" s="25" t="s">
        <v>96</v>
      </c>
      <c r="C672" s="34"/>
    </row>
    <row r="673" spans="1:3" s="1" customFormat="1" ht="15" customHeight="1" x14ac:dyDescent="0.3">
      <c r="A673" s="23"/>
      <c r="B673" s="13"/>
      <c r="C673" s="34"/>
    </row>
    <row r="674" spans="1:3" ht="15" customHeight="1" x14ac:dyDescent="0.25">
      <c r="A674" s="22" t="s">
        <v>451</v>
      </c>
      <c r="B674" s="10" t="s">
        <v>421</v>
      </c>
    </row>
    <row r="675" spans="1:3" ht="15" customHeight="1" x14ac:dyDescent="0.25">
      <c r="A675" s="22" t="s">
        <v>406</v>
      </c>
      <c r="B675" s="10" t="s">
        <v>407</v>
      </c>
    </row>
    <row r="676" spans="1:3" ht="15" customHeight="1" x14ac:dyDescent="0.25">
      <c r="A676" s="22" t="s">
        <v>440</v>
      </c>
      <c r="B676" s="19" t="s">
        <v>111</v>
      </c>
    </row>
    <row r="677" spans="1:3" ht="15" customHeight="1" x14ac:dyDescent="0.25">
      <c r="A677" s="5" t="s">
        <v>181</v>
      </c>
      <c r="B677" s="17" t="s">
        <v>23</v>
      </c>
    </row>
    <row r="678" spans="1:3" ht="15" customHeight="1" x14ac:dyDescent="0.25">
      <c r="A678" s="5" t="s">
        <v>130</v>
      </c>
      <c r="B678" s="17" t="s">
        <v>131</v>
      </c>
    </row>
    <row r="679" spans="1:3" ht="15" customHeight="1" x14ac:dyDescent="0.25">
      <c r="A679" s="5" t="s">
        <v>132</v>
      </c>
      <c r="B679" s="17" t="s">
        <v>133</v>
      </c>
    </row>
    <row r="680" spans="1:3" ht="15" customHeight="1" x14ac:dyDescent="0.25">
      <c r="A680" s="22" t="s">
        <v>358</v>
      </c>
      <c r="B680" s="19" t="s">
        <v>357</v>
      </c>
    </row>
    <row r="681" spans="1:3" ht="15" customHeight="1" x14ac:dyDescent="0.25">
      <c r="A681" s="22" t="s">
        <v>283</v>
      </c>
      <c r="B681" s="19" t="s">
        <v>24</v>
      </c>
    </row>
    <row r="682" spans="1:3" ht="15" customHeight="1" x14ac:dyDescent="0.25">
      <c r="A682" s="22" t="s">
        <v>423</v>
      </c>
      <c r="B682" s="10" t="s">
        <v>199</v>
      </c>
    </row>
    <row r="683" spans="1:3" ht="15" customHeight="1" x14ac:dyDescent="0.25">
      <c r="A683" s="6" t="s">
        <v>138</v>
      </c>
      <c r="B683" s="20" t="s">
        <v>139</v>
      </c>
    </row>
    <row r="684" spans="1:3" ht="15" customHeight="1" x14ac:dyDescent="0.25">
      <c r="A684" s="22" t="s">
        <v>197</v>
      </c>
      <c r="B684" s="10" t="s">
        <v>198</v>
      </c>
    </row>
    <row r="685" spans="1:3" ht="15" customHeight="1" x14ac:dyDescent="0.25">
      <c r="A685" s="22" t="s">
        <v>214</v>
      </c>
      <c r="B685" s="10" t="s">
        <v>213</v>
      </c>
    </row>
    <row r="686" spans="1:3" ht="15" customHeight="1" x14ac:dyDescent="0.25">
      <c r="A686" s="5" t="s">
        <v>171</v>
      </c>
      <c r="B686" s="21" t="s">
        <v>172</v>
      </c>
    </row>
    <row r="687" spans="1:3" ht="15" customHeight="1" x14ac:dyDescent="0.25">
      <c r="A687" s="22" t="s">
        <v>188</v>
      </c>
      <c r="B687" s="16" t="s">
        <v>187</v>
      </c>
    </row>
    <row r="688" spans="1:3" ht="15" customHeight="1" x14ac:dyDescent="0.25">
      <c r="A688" s="22" t="s">
        <v>317</v>
      </c>
      <c r="B688" s="10" t="s">
        <v>318</v>
      </c>
    </row>
    <row r="689" spans="1:3" ht="15" customHeight="1" x14ac:dyDescent="0.25">
      <c r="A689" s="22" t="s">
        <v>369</v>
      </c>
      <c r="B689" s="10" t="s">
        <v>428</v>
      </c>
    </row>
    <row r="690" spans="1:3" ht="15" customHeight="1" x14ac:dyDescent="0.25">
      <c r="A690" s="24" t="s">
        <v>397</v>
      </c>
      <c r="B690" s="10" t="s">
        <v>398</v>
      </c>
    </row>
    <row r="692" spans="1:3" s="29" customFormat="1" ht="15" customHeight="1" x14ac:dyDescent="0.25">
      <c r="A692" s="23"/>
      <c r="B692" s="27" t="s">
        <v>1</v>
      </c>
      <c r="C692" s="34"/>
    </row>
    <row r="693" spans="1:3" ht="15" customHeight="1" x14ac:dyDescent="0.3">
      <c r="B693" s="11"/>
    </row>
    <row r="694" spans="1:3" s="26" customFormat="1" ht="15" customHeight="1" x14ac:dyDescent="0.25">
      <c r="A694" s="23"/>
      <c r="B694" s="25" t="s">
        <v>103</v>
      </c>
      <c r="C694" s="34"/>
    </row>
    <row r="695" spans="1:3" ht="15" customHeight="1" x14ac:dyDescent="0.3">
      <c r="B695" s="11"/>
    </row>
    <row r="696" spans="1:3" ht="15" customHeight="1" x14ac:dyDescent="0.25">
      <c r="A696" s="22" t="s">
        <v>332</v>
      </c>
      <c r="B696" s="19" t="s">
        <v>34</v>
      </c>
    </row>
    <row r="697" spans="1:3" ht="15" customHeight="1" x14ac:dyDescent="0.25">
      <c r="B697" s="19" t="s">
        <v>104</v>
      </c>
    </row>
    <row r="698" spans="1:3" ht="15" customHeight="1" x14ac:dyDescent="0.3">
      <c r="B698" s="11"/>
    </row>
    <row r="699" spans="1:3" s="26" customFormat="1" ht="15" customHeight="1" x14ac:dyDescent="0.25">
      <c r="A699" s="23"/>
      <c r="B699" s="25" t="s">
        <v>97</v>
      </c>
      <c r="C699" s="34"/>
    </row>
    <row r="700" spans="1:3" ht="15" customHeight="1" x14ac:dyDescent="0.3">
      <c r="B700" s="11"/>
    </row>
    <row r="701" spans="1:3" ht="15" customHeight="1" x14ac:dyDescent="0.25">
      <c r="A701" s="5" t="s">
        <v>132</v>
      </c>
      <c r="B701" s="17" t="s">
        <v>133</v>
      </c>
    </row>
    <row r="702" spans="1:3" ht="15" customHeight="1" x14ac:dyDescent="0.25">
      <c r="A702" s="22" t="s">
        <v>332</v>
      </c>
      <c r="B702" s="19" t="s">
        <v>34</v>
      </c>
    </row>
    <row r="703" spans="1:3" ht="15" customHeight="1" x14ac:dyDescent="0.25">
      <c r="A703" s="22" t="s">
        <v>358</v>
      </c>
      <c r="B703" s="19" t="s">
        <v>357</v>
      </c>
    </row>
    <row r="704" spans="1:3" ht="15" customHeight="1" x14ac:dyDescent="0.25">
      <c r="A704" s="22">
        <v>815508</v>
      </c>
      <c r="B704" s="10" t="s">
        <v>202</v>
      </c>
    </row>
    <row r="705" spans="1:3" ht="15" customHeight="1" x14ac:dyDescent="0.25">
      <c r="A705" s="24" t="s">
        <v>347</v>
      </c>
      <c r="B705" s="10" t="s">
        <v>348</v>
      </c>
    </row>
    <row r="706" spans="1:3" ht="15" customHeight="1" x14ac:dyDescent="0.25">
      <c r="B706" s="19" t="s">
        <v>105</v>
      </c>
    </row>
    <row r="707" spans="1:3" ht="15" customHeight="1" x14ac:dyDescent="0.25">
      <c r="B707" s="19" t="s">
        <v>106</v>
      </c>
    </row>
    <row r="708" spans="1:3" ht="15" customHeight="1" x14ac:dyDescent="0.3">
      <c r="B708" s="11"/>
    </row>
    <row r="709" spans="1:3" s="26" customFormat="1" ht="15" customHeight="1" x14ac:dyDescent="0.25">
      <c r="A709" s="23"/>
      <c r="B709" s="25" t="s">
        <v>98</v>
      </c>
      <c r="C709" s="34"/>
    </row>
    <row r="711" spans="1:3" ht="15" customHeight="1" x14ac:dyDescent="0.25">
      <c r="A711" s="6" t="s">
        <v>165</v>
      </c>
      <c r="B711" s="20" t="s">
        <v>166</v>
      </c>
    </row>
    <row r="712" spans="1:3" ht="15" customHeight="1" x14ac:dyDescent="0.25">
      <c r="A712" s="24">
        <v>542201</v>
      </c>
      <c r="B712" s="10" t="s">
        <v>473</v>
      </c>
    </row>
    <row r="713" spans="1:3" ht="15" customHeight="1" x14ac:dyDescent="0.25">
      <c r="A713" s="22" t="s">
        <v>463</v>
      </c>
      <c r="B713" s="10" t="s">
        <v>446</v>
      </c>
    </row>
    <row r="714" spans="1:3" ht="15" customHeight="1" x14ac:dyDescent="0.25">
      <c r="A714" s="22" t="s">
        <v>451</v>
      </c>
      <c r="B714" s="10" t="s">
        <v>421</v>
      </c>
    </row>
    <row r="715" spans="1:3" ht="15" customHeight="1" x14ac:dyDescent="0.25">
      <c r="A715" s="22" t="s">
        <v>326</v>
      </c>
      <c r="B715" s="19" t="s">
        <v>107</v>
      </c>
    </row>
    <row r="716" spans="1:3" ht="15" customHeight="1" x14ac:dyDescent="0.25">
      <c r="A716" s="5" t="s">
        <v>132</v>
      </c>
      <c r="B716" s="17" t="s">
        <v>133</v>
      </c>
    </row>
    <row r="717" spans="1:3" ht="15" customHeight="1" x14ac:dyDescent="0.25">
      <c r="A717" s="22" t="s">
        <v>358</v>
      </c>
      <c r="B717" s="19" t="s">
        <v>357</v>
      </c>
    </row>
    <row r="718" spans="1:3" ht="15" customHeight="1" x14ac:dyDescent="0.25">
      <c r="A718" s="22" t="s">
        <v>195</v>
      </c>
      <c r="B718" s="10" t="s">
        <v>196</v>
      </c>
    </row>
    <row r="719" spans="1:3" ht="15" customHeight="1" x14ac:dyDescent="0.25">
      <c r="A719" s="22" t="s">
        <v>234</v>
      </c>
      <c r="B719" s="10" t="s">
        <v>233</v>
      </c>
    </row>
    <row r="720" spans="1:3" ht="15" customHeight="1" x14ac:dyDescent="0.25">
      <c r="A720" s="22" t="s">
        <v>394</v>
      </c>
      <c r="B720" s="10" t="s">
        <v>393</v>
      </c>
    </row>
    <row r="721" spans="1:3" ht="15" customHeight="1" x14ac:dyDescent="0.25">
      <c r="A721" s="22" t="s">
        <v>412</v>
      </c>
      <c r="B721" s="10" t="s">
        <v>413</v>
      </c>
    </row>
    <row r="722" spans="1:3" ht="15" customHeight="1" x14ac:dyDescent="0.25">
      <c r="A722" s="6" t="s">
        <v>176</v>
      </c>
      <c r="B722" s="18" t="s">
        <v>177</v>
      </c>
    </row>
    <row r="723" spans="1:3" ht="15" customHeight="1" x14ac:dyDescent="0.25">
      <c r="A723" s="22" t="s">
        <v>192</v>
      </c>
      <c r="B723" s="16" t="s">
        <v>193</v>
      </c>
    </row>
    <row r="724" spans="1:3" ht="15" customHeight="1" x14ac:dyDescent="0.25">
      <c r="A724" s="24" t="s">
        <v>350</v>
      </c>
      <c r="B724" s="10" t="s">
        <v>351</v>
      </c>
    </row>
    <row r="725" spans="1:3" ht="15" customHeight="1" x14ac:dyDescent="0.25">
      <c r="A725" s="22" t="s">
        <v>274</v>
      </c>
      <c r="B725" s="19" t="s">
        <v>415</v>
      </c>
    </row>
    <row r="727" spans="1:3" s="26" customFormat="1" ht="15" customHeight="1" x14ac:dyDescent="0.25">
      <c r="A727" s="23"/>
      <c r="B727" s="25" t="s">
        <v>99</v>
      </c>
      <c r="C727" s="34"/>
    </row>
    <row r="729" spans="1:3" ht="15" customHeight="1" x14ac:dyDescent="0.25">
      <c r="A729" s="22" t="s">
        <v>325</v>
      </c>
      <c r="B729" s="19" t="s">
        <v>85</v>
      </c>
    </row>
    <row r="730" spans="1:3" ht="15" customHeight="1" x14ac:dyDescent="0.25">
      <c r="A730" s="22" t="s">
        <v>358</v>
      </c>
      <c r="B730" s="19" t="s">
        <v>357</v>
      </c>
    </row>
    <row r="731" spans="1:3" ht="15" customHeight="1" x14ac:dyDescent="0.25">
      <c r="A731" s="5" t="s">
        <v>153</v>
      </c>
      <c r="B731" s="17" t="s">
        <v>154</v>
      </c>
    </row>
    <row r="732" spans="1:3" ht="15" customHeight="1" x14ac:dyDescent="0.25">
      <c r="A732" s="22" t="s">
        <v>354</v>
      </c>
      <c r="B732" s="19" t="s">
        <v>63</v>
      </c>
    </row>
    <row r="733" spans="1:3" ht="15" customHeight="1" x14ac:dyDescent="0.25">
      <c r="A733" s="22" t="s">
        <v>445</v>
      </c>
      <c r="B733" s="10" t="s">
        <v>446</v>
      </c>
    </row>
    <row r="734" spans="1:3" ht="15" customHeight="1" x14ac:dyDescent="0.25">
      <c r="A734" s="24">
        <v>542201</v>
      </c>
      <c r="B734" s="10" t="s">
        <v>474</v>
      </c>
    </row>
    <row r="735" spans="1:3" ht="15" customHeight="1" x14ac:dyDescent="0.25">
      <c r="A735" s="24" t="s">
        <v>373</v>
      </c>
      <c r="B735" s="10" t="s">
        <v>374</v>
      </c>
    </row>
    <row r="737" spans="1:3" s="26" customFormat="1" ht="15" customHeight="1" x14ac:dyDescent="0.25">
      <c r="A737" s="23"/>
      <c r="B737" s="25" t="s">
        <v>100</v>
      </c>
      <c r="C737" s="34"/>
    </row>
    <row r="739" spans="1:3" ht="15" customHeight="1" x14ac:dyDescent="0.25">
      <c r="A739" s="5" t="s">
        <v>130</v>
      </c>
      <c r="B739" s="17" t="s">
        <v>131</v>
      </c>
    </row>
    <row r="740" spans="1:3" ht="15" customHeight="1" x14ac:dyDescent="0.25">
      <c r="A740" s="5" t="s">
        <v>132</v>
      </c>
      <c r="B740" s="17" t="s">
        <v>133</v>
      </c>
    </row>
    <row r="741" spans="1:3" ht="15" customHeight="1" x14ac:dyDescent="0.25">
      <c r="A741" s="6" t="s">
        <v>167</v>
      </c>
      <c r="B741" s="18" t="s">
        <v>168</v>
      </c>
    </row>
    <row r="742" spans="1:3" ht="15" customHeight="1" x14ac:dyDescent="0.25">
      <c r="A742" s="22" t="s">
        <v>330</v>
      </c>
      <c r="B742" s="19" t="s">
        <v>87</v>
      </c>
    </row>
    <row r="743" spans="1:3" ht="15" customHeight="1" x14ac:dyDescent="0.25">
      <c r="A743" s="22" t="s">
        <v>358</v>
      </c>
      <c r="B743" s="19" t="s">
        <v>357</v>
      </c>
    </row>
    <row r="744" spans="1:3" ht="15" customHeight="1" x14ac:dyDescent="0.25">
      <c r="A744" s="22" t="s">
        <v>195</v>
      </c>
      <c r="B744" s="10" t="s">
        <v>196</v>
      </c>
    </row>
    <row r="745" spans="1:3" ht="15" customHeight="1" x14ac:dyDescent="0.25">
      <c r="A745" s="22" t="s">
        <v>234</v>
      </c>
      <c r="B745" s="10" t="s">
        <v>233</v>
      </c>
    </row>
    <row r="746" spans="1:3" ht="15" customHeight="1" x14ac:dyDescent="0.25">
      <c r="A746" s="6" t="s">
        <v>176</v>
      </c>
      <c r="B746" s="18" t="s">
        <v>177</v>
      </c>
    </row>
    <row r="747" spans="1:3" ht="15" customHeight="1" x14ac:dyDescent="0.25">
      <c r="A747" s="22" t="s">
        <v>412</v>
      </c>
      <c r="B747" s="10" t="s">
        <v>413</v>
      </c>
    </row>
    <row r="748" spans="1:3" ht="15" customHeight="1" x14ac:dyDescent="0.25">
      <c r="A748" s="5">
        <v>670145</v>
      </c>
      <c r="B748" s="17" t="s">
        <v>184</v>
      </c>
    </row>
    <row r="749" spans="1:3" ht="15" customHeight="1" x14ac:dyDescent="0.25">
      <c r="A749" s="22">
        <v>821908</v>
      </c>
      <c r="B749" s="10" t="s">
        <v>204</v>
      </c>
    </row>
    <row r="750" spans="1:3" ht="15" customHeight="1" x14ac:dyDescent="0.25">
      <c r="A750" s="5" t="s">
        <v>219</v>
      </c>
      <c r="B750" s="20" t="s">
        <v>220</v>
      </c>
    </row>
    <row r="751" spans="1:3" ht="15" customHeight="1" x14ac:dyDescent="0.25">
      <c r="A751" s="24" t="s">
        <v>350</v>
      </c>
      <c r="B751" s="10" t="s">
        <v>351</v>
      </c>
    </row>
    <row r="752" spans="1:3" ht="15" customHeight="1" x14ac:dyDescent="0.25">
      <c r="A752" s="24" t="s">
        <v>397</v>
      </c>
      <c r="B752" s="10" t="s">
        <v>398</v>
      </c>
    </row>
    <row r="754" spans="1:8" s="26" customFormat="1" ht="15" customHeight="1" x14ac:dyDescent="0.25">
      <c r="A754" s="23"/>
      <c r="B754" s="25" t="s">
        <v>101</v>
      </c>
      <c r="C754" s="34"/>
    </row>
    <row r="756" spans="1:8" ht="15" customHeight="1" x14ac:dyDescent="0.25">
      <c r="A756" s="6" t="s">
        <v>167</v>
      </c>
      <c r="B756" s="18" t="s">
        <v>168</v>
      </c>
    </row>
    <row r="757" spans="1:8" ht="15" customHeight="1" x14ac:dyDescent="0.25">
      <c r="A757" s="22" t="s">
        <v>404</v>
      </c>
      <c r="B757" s="10" t="s">
        <v>405</v>
      </c>
    </row>
    <row r="758" spans="1:8" ht="15" customHeight="1" x14ac:dyDescent="0.25">
      <c r="A758" s="6" t="s">
        <v>176</v>
      </c>
      <c r="B758" s="18" t="s">
        <v>177</v>
      </c>
    </row>
    <row r="759" spans="1:8" ht="15" customHeight="1" x14ac:dyDescent="0.25">
      <c r="A759" s="22" t="s">
        <v>410</v>
      </c>
      <c r="B759" s="10" t="s">
        <v>411</v>
      </c>
    </row>
    <row r="760" spans="1:8" ht="15" customHeight="1" x14ac:dyDescent="0.25">
      <c r="A760" s="22" t="s">
        <v>451</v>
      </c>
      <c r="B760" s="10" t="s">
        <v>421</v>
      </c>
    </row>
    <row r="761" spans="1:8" ht="15" customHeight="1" x14ac:dyDescent="0.25">
      <c r="A761" s="5" t="s">
        <v>171</v>
      </c>
      <c r="B761" s="21" t="s">
        <v>172</v>
      </c>
    </row>
    <row r="762" spans="1:8" ht="15" customHeight="1" x14ac:dyDescent="0.25">
      <c r="B762" s="19" t="s">
        <v>108</v>
      </c>
    </row>
    <row r="763" spans="1:8" ht="15" customHeight="1" x14ac:dyDescent="0.25">
      <c r="B763" s="19" t="s">
        <v>109</v>
      </c>
    </row>
    <row r="765" spans="1:8" s="28" customFormat="1" ht="15" customHeight="1" x14ac:dyDescent="0.25">
      <c r="A765" s="22"/>
      <c r="B765" s="25" t="s">
        <v>110</v>
      </c>
      <c r="C765" s="34"/>
    </row>
    <row r="767" spans="1:8" s="1" customFormat="1" ht="15" customHeight="1" x14ac:dyDescent="0.3">
      <c r="A767" s="22" t="s">
        <v>439</v>
      </c>
      <c r="B767" s="10" t="s">
        <v>359</v>
      </c>
      <c r="C767" s="34"/>
      <c r="D767" s="8"/>
      <c r="E767" s="8"/>
      <c r="F767" s="8"/>
      <c r="G767" s="8"/>
      <c r="H767" s="8"/>
    </row>
    <row r="768" spans="1:8" ht="15" customHeight="1" x14ac:dyDescent="0.25">
      <c r="A768" s="22" t="s">
        <v>386</v>
      </c>
      <c r="B768" s="10" t="s">
        <v>385</v>
      </c>
      <c r="D768" s="8"/>
      <c r="E768" s="8"/>
      <c r="F768" s="8"/>
      <c r="G768" s="8"/>
      <c r="H768" s="8"/>
    </row>
    <row r="769" spans="1:8" ht="15" customHeight="1" x14ac:dyDescent="0.3">
      <c r="A769" s="6" t="s">
        <v>161</v>
      </c>
      <c r="B769" s="18" t="s">
        <v>162</v>
      </c>
      <c r="E769" s="1"/>
      <c r="F769" s="1"/>
      <c r="G769" s="1"/>
      <c r="H769" s="1"/>
    </row>
    <row r="770" spans="1:8" ht="15" customHeight="1" x14ac:dyDescent="0.25">
      <c r="A770" s="22" t="s">
        <v>406</v>
      </c>
      <c r="B770" s="10" t="s">
        <v>407</v>
      </c>
      <c r="D770" s="8"/>
      <c r="E770" s="8"/>
      <c r="F770" s="8"/>
      <c r="G770" s="8"/>
      <c r="H770" s="8"/>
    </row>
    <row r="771" spans="1:8" s="1" customFormat="1" ht="15" customHeight="1" x14ac:dyDescent="0.3">
      <c r="A771" s="22" t="s">
        <v>440</v>
      </c>
      <c r="B771" s="19" t="s">
        <v>111</v>
      </c>
      <c r="C771" s="34"/>
      <c r="D771" s="8"/>
      <c r="E771" s="8"/>
      <c r="F771" s="8"/>
      <c r="G771" s="8"/>
      <c r="H771" s="8"/>
    </row>
    <row r="772" spans="1:8" s="2" customFormat="1" ht="15" customHeight="1" x14ac:dyDescent="0.25">
      <c r="A772" s="32" t="s">
        <v>181</v>
      </c>
      <c r="B772" s="17" t="s">
        <v>23</v>
      </c>
      <c r="C772" s="34"/>
      <c r="D772" s="3"/>
    </row>
    <row r="773" spans="1:8" ht="15" customHeight="1" x14ac:dyDescent="0.25">
      <c r="A773" s="6" t="s">
        <v>179</v>
      </c>
      <c r="B773" s="17" t="s">
        <v>180</v>
      </c>
      <c r="E773" s="2"/>
      <c r="F773" s="2"/>
      <c r="G773" s="2"/>
      <c r="H773" s="2"/>
    </row>
    <row r="774" spans="1:8" ht="15" customHeight="1" x14ac:dyDescent="0.25">
      <c r="A774" s="32" t="s">
        <v>134</v>
      </c>
      <c r="B774" s="17" t="s">
        <v>135</v>
      </c>
      <c r="E774" s="4"/>
      <c r="F774" s="4"/>
      <c r="G774" s="4"/>
      <c r="H774" s="4"/>
    </row>
    <row r="775" spans="1:8" s="2" customFormat="1" ht="15" customHeight="1" x14ac:dyDescent="0.25">
      <c r="A775" s="32" t="s">
        <v>130</v>
      </c>
      <c r="B775" s="17" t="s">
        <v>131</v>
      </c>
      <c r="C775" s="34"/>
      <c r="D775" s="3"/>
      <c r="E775" s="3"/>
      <c r="F775" s="3"/>
      <c r="G775" s="3"/>
      <c r="H775" s="3"/>
    </row>
    <row r="776" spans="1:8" s="4" customFormat="1" ht="15" customHeight="1" x14ac:dyDescent="0.25">
      <c r="A776" s="32" t="s">
        <v>132</v>
      </c>
      <c r="B776" s="17" t="s">
        <v>133</v>
      </c>
      <c r="C776" s="34"/>
      <c r="D776" s="3"/>
      <c r="E776" s="2"/>
      <c r="F776" s="2"/>
      <c r="G776" s="2"/>
      <c r="H776" s="2"/>
    </row>
    <row r="777" spans="1:8" s="8" customFormat="1" ht="15" customHeight="1" x14ac:dyDescent="0.3">
      <c r="A777" s="6" t="s">
        <v>136</v>
      </c>
      <c r="B777" s="17" t="s">
        <v>137</v>
      </c>
      <c r="C777" s="34"/>
      <c r="D777" s="3"/>
      <c r="E777" s="1"/>
      <c r="F777" s="1"/>
      <c r="G777" s="1"/>
      <c r="H777" s="1"/>
    </row>
    <row r="778" spans="1:8" ht="15" customHeight="1" x14ac:dyDescent="0.25">
      <c r="A778" s="6" t="s">
        <v>167</v>
      </c>
      <c r="B778" s="18" t="s">
        <v>168</v>
      </c>
      <c r="E778" s="2"/>
      <c r="F778" s="2"/>
      <c r="G778" s="2"/>
      <c r="H778" s="2"/>
    </row>
    <row r="779" spans="1:8" ht="15" customHeight="1" x14ac:dyDescent="0.3">
      <c r="A779" s="32" t="s">
        <v>169</v>
      </c>
      <c r="B779" s="17" t="s">
        <v>170</v>
      </c>
      <c r="E779" s="1"/>
      <c r="F779" s="1"/>
      <c r="G779" s="1"/>
      <c r="H779" s="1"/>
    </row>
    <row r="780" spans="1:8" s="8" customFormat="1" ht="15" customHeight="1" x14ac:dyDescent="0.25">
      <c r="A780" s="22" t="s">
        <v>212</v>
      </c>
      <c r="B780" s="19" t="s">
        <v>88</v>
      </c>
      <c r="C780" s="34"/>
      <c r="D780" s="9"/>
      <c r="E780" s="9"/>
      <c r="F780" s="9"/>
      <c r="G780" s="9"/>
      <c r="H780" s="9"/>
    </row>
    <row r="781" spans="1:8" ht="15" customHeight="1" x14ac:dyDescent="0.25">
      <c r="A781" s="22" t="s">
        <v>394</v>
      </c>
      <c r="B781" s="10" t="s">
        <v>393</v>
      </c>
      <c r="D781" s="8"/>
      <c r="E781" s="8"/>
      <c r="F781" s="8"/>
      <c r="G781" s="8"/>
      <c r="H781" s="8"/>
    </row>
    <row r="782" spans="1:8" ht="15" customHeight="1" x14ac:dyDescent="0.25">
      <c r="A782" s="22" t="s">
        <v>326</v>
      </c>
      <c r="B782" s="19" t="s">
        <v>107</v>
      </c>
      <c r="D782" s="8"/>
      <c r="E782" s="8"/>
      <c r="F782" s="8"/>
      <c r="G782" s="8"/>
      <c r="H782" s="8"/>
    </row>
    <row r="783" spans="1:8" s="2" customFormat="1" ht="15" customHeight="1" x14ac:dyDescent="0.25">
      <c r="A783" s="22" t="s">
        <v>325</v>
      </c>
      <c r="B783" s="19" t="s">
        <v>85</v>
      </c>
      <c r="C783" s="34"/>
      <c r="D783" s="8"/>
      <c r="E783" s="8"/>
      <c r="F783" s="8"/>
      <c r="G783" s="8"/>
      <c r="H783" s="8"/>
    </row>
    <row r="784" spans="1:8" s="4" customFormat="1" ht="15" customHeight="1" x14ac:dyDescent="0.25">
      <c r="A784" s="22" t="s">
        <v>327</v>
      </c>
      <c r="B784" s="19" t="s">
        <v>86</v>
      </c>
      <c r="C784" s="34"/>
      <c r="D784" s="8"/>
      <c r="E784" s="8"/>
      <c r="F784" s="8"/>
      <c r="G784" s="8"/>
      <c r="H784" s="8"/>
    </row>
    <row r="785" spans="1:8" s="1" customFormat="1" ht="15" customHeight="1" x14ac:dyDescent="0.3">
      <c r="A785" s="22" t="s">
        <v>331</v>
      </c>
      <c r="B785" s="19" t="s">
        <v>65</v>
      </c>
      <c r="C785" s="34"/>
      <c r="D785" s="8"/>
      <c r="E785" s="8"/>
      <c r="F785" s="8"/>
      <c r="G785" s="8"/>
      <c r="H785" s="8"/>
    </row>
    <row r="786" spans="1:8" s="1" customFormat="1" ht="15" customHeight="1" x14ac:dyDescent="0.3">
      <c r="A786" s="22" t="s">
        <v>330</v>
      </c>
      <c r="B786" s="19" t="s">
        <v>87</v>
      </c>
      <c r="C786" s="34"/>
      <c r="D786" s="8"/>
      <c r="E786" s="8"/>
      <c r="F786" s="8"/>
      <c r="G786" s="8"/>
      <c r="H786" s="8"/>
    </row>
    <row r="787" spans="1:8" s="9" customFormat="1" ht="15" customHeight="1" x14ac:dyDescent="0.25">
      <c r="A787" s="22" t="s">
        <v>332</v>
      </c>
      <c r="B787" s="19" t="s">
        <v>34</v>
      </c>
      <c r="C787" s="34"/>
      <c r="D787" s="8"/>
      <c r="E787" s="8"/>
      <c r="F787" s="8"/>
      <c r="G787" s="8"/>
      <c r="H787" s="8"/>
    </row>
    <row r="788" spans="1:8" s="9" customFormat="1" ht="15" customHeight="1" x14ac:dyDescent="0.25">
      <c r="A788" s="22" t="s">
        <v>216</v>
      </c>
      <c r="B788" s="19" t="s">
        <v>218</v>
      </c>
      <c r="C788" s="34"/>
      <c r="D788" s="8"/>
      <c r="E788" s="8"/>
      <c r="F788" s="8"/>
      <c r="G788" s="8"/>
      <c r="H788" s="8"/>
    </row>
    <row r="789" spans="1:8" s="9" customFormat="1" ht="15" customHeight="1" x14ac:dyDescent="0.25">
      <c r="A789" s="22" t="s">
        <v>215</v>
      </c>
      <c r="B789" s="19" t="s">
        <v>217</v>
      </c>
      <c r="C789" s="34"/>
      <c r="D789" s="8"/>
      <c r="E789" s="8"/>
      <c r="F789" s="8"/>
      <c r="G789" s="8"/>
      <c r="H789" s="8"/>
    </row>
    <row r="790" spans="1:8" s="9" customFormat="1" ht="15" customHeight="1" x14ac:dyDescent="0.25">
      <c r="A790" s="22" t="s">
        <v>328</v>
      </c>
      <c r="B790" s="19" t="s">
        <v>67</v>
      </c>
      <c r="C790" s="34"/>
      <c r="D790" s="8"/>
      <c r="E790" s="8"/>
      <c r="F790" s="8"/>
      <c r="G790" s="8"/>
      <c r="H790" s="8"/>
    </row>
    <row r="791" spans="1:8" s="9" customFormat="1" ht="15" customHeight="1" x14ac:dyDescent="0.25">
      <c r="A791" s="22" t="s">
        <v>329</v>
      </c>
      <c r="B791" s="19" t="s">
        <v>64</v>
      </c>
      <c r="C791" s="34"/>
      <c r="D791" s="8"/>
      <c r="E791" s="8"/>
      <c r="F791" s="8"/>
      <c r="G791" s="8"/>
      <c r="H791" s="8"/>
    </row>
    <row r="792" spans="1:8" s="8" customFormat="1" ht="15" customHeight="1" x14ac:dyDescent="0.25">
      <c r="A792" s="22" t="s">
        <v>358</v>
      </c>
      <c r="B792" s="19" t="s">
        <v>357</v>
      </c>
      <c r="C792" s="34"/>
    </row>
    <row r="793" spans="1:8" s="9" customFormat="1" ht="15" customHeight="1" x14ac:dyDescent="0.25">
      <c r="A793" s="32" t="s">
        <v>153</v>
      </c>
      <c r="B793" s="17" t="s">
        <v>154</v>
      </c>
      <c r="C793" s="34"/>
      <c r="D793" s="8"/>
      <c r="E793" s="8"/>
      <c r="F793" s="8"/>
      <c r="G793" s="8"/>
      <c r="H793" s="8"/>
    </row>
    <row r="794" spans="1:8" s="9" customFormat="1" ht="15" customHeight="1" x14ac:dyDescent="0.25">
      <c r="A794" s="22" t="s">
        <v>354</v>
      </c>
      <c r="B794" s="19" t="s">
        <v>63</v>
      </c>
      <c r="C794" s="34"/>
      <c r="D794" s="8"/>
      <c r="E794" s="8"/>
      <c r="F794" s="8"/>
      <c r="G794" s="8"/>
      <c r="H794" s="8"/>
    </row>
    <row r="795" spans="1:8" s="8" customFormat="1" ht="15" customHeight="1" x14ac:dyDescent="0.25">
      <c r="A795" s="6" t="s">
        <v>182</v>
      </c>
      <c r="B795" s="20" t="s">
        <v>183</v>
      </c>
      <c r="C795" s="34"/>
    </row>
    <row r="796" spans="1:8" s="8" customFormat="1" ht="15" customHeight="1" x14ac:dyDescent="0.25">
      <c r="A796" s="6" t="s">
        <v>118</v>
      </c>
      <c r="B796" s="18" t="s">
        <v>119</v>
      </c>
      <c r="C796" s="34"/>
    </row>
    <row r="797" spans="1:8" s="8" customFormat="1" ht="15" customHeight="1" x14ac:dyDescent="0.25">
      <c r="A797" s="22" t="s">
        <v>404</v>
      </c>
      <c r="B797" s="10" t="s">
        <v>405</v>
      </c>
      <c r="C797" s="34"/>
    </row>
    <row r="798" spans="1:8" s="8" customFormat="1" ht="15" customHeight="1" x14ac:dyDescent="0.25">
      <c r="A798" s="22" t="s">
        <v>195</v>
      </c>
      <c r="B798" s="10" t="s">
        <v>196</v>
      </c>
      <c r="C798" s="34"/>
    </row>
    <row r="799" spans="1:8" s="8" customFormat="1" ht="15" customHeight="1" x14ac:dyDescent="0.25">
      <c r="A799" s="22" t="s">
        <v>234</v>
      </c>
      <c r="B799" s="10" t="s">
        <v>233</v>
      </c>
      <c r="C799" s="34"/>
    </row>
    <row r="800" spans="1:8" s="8" customFormat="1" ht="15" customHeight="1" x14ac:dyDescent="0.25">
      <c r="A800" s="22" t="s">
        <v>208</v>
      </c>
      <c r="B800" s="19" t="s">
        <v>209</v>
      </c>
      <c r="C800" s="34"/>
    </row>
    <row r="801" spans="1:8" s="8" customFormat="1" ht="15" customHeight="1" x14ac:dyDescent="0.25">
      <c r="A801" s="22" t="s">
        <v>210</v>
      </c>
      <c r="B801" s="19" t="s">
        <v>211</v>
      </c>
      <c r="C801" s="34"/>
    </row>
    <row r="802" spans="1:8" s="9" customFormat="1" ht="15" customHeight="1" x14ac:dyDescent="0.25">
      <c r="A802" s="22" t="s">
        <v>441</v>
      </c>
      <c r="B802" s="10" t="s">
        <v>442</v>
      </c>
      <c r="C802" s="34"/>
      <c r="D802" s="8"/>
      <c r="E802" s="8"/>
      <c r="F802" s="8"/>
      <c r="G802" s="8"/>
      <c r="H802" s="8"/>
    </row>
    <row r="803" spans="1:8" s="8" customFormat="1" ht="15" customHeight="1" x14ac:dyDescent="0.25">
      <c r="A803" s="22" t="s">
        <v>364</v>
      </c>
      <c r="B803" s="10" t="s">
        <v>363</v>
      </c>
      <c r="C803" s="34"/>
    </row>
    <row r="804" spans="1:8" s="1" customFormat="1" ht="15" customHeight="1" x14ac:dyDescent="0.3">
      <c r="A804" s="22" t="s">
        <v>323</v>
      </c>
      <c r="B804" s="10" t="s">
        <v>324</v>
      </c>
      <c r="C804" s="34"/>
      <c r="D804" s="8"/>
      <c r="E804" s="8"/>
      <c r="F804" s="8"/>
      <c r="G804" s="8"/>
      <c r="H804" s="8"/>
    </row>
    <row r="805" spans="1:8" s="1" customFormat="1" ht="15" customHeight="1" x14ac:dyDescent="0.3">
      <c r="A805" s="22" t="s">
        <v>366</v>
      </c>
      <c r="B805" s="10" t="s">
        <v>365</v>
      </c>
      <c r="C805" s="34"/>
      <c r="D805" s="8"/>
      <c r="E805" s="8"/>
      <c r="F805" s="8"/>
      <c r="G805" s="8"/>
      <c r="H805" s="8"/>
    </row>
    <row r="806" spans="1:8" s="1" customFormat="1" ht="15" customHeight="1" x14ac:dyDescent="0.3">
      <c r="A806" s="22" t="s">
        <v>283</v>
      </c>
      <c r="B806" s="19" t="s">
        <v>24</v>
      </c>
      <c r="C806" s="34"/>
      <c r="D806" s="8"/>
      <c r="E806" s="8"/>
      <c r="F806" s="8"/>
      <c r="G806" s="8"/>
      <c r="H806" s="8"/>
    </row>
    <row r="807" spans="1:8" s="8" customFormat="1" ht="15" customHeight="1" x14ac:dyDescent="0.3">
      <c r="A807" s="32" t="s">
        <v>159</v>
      </c>
      <c r="B807" s="17" t="s">
        <v>160</v>
      </c>
      <c r="C807" s="34"/>
      <c r="D807" s="3"/>
      <c r="E807" s="1"/>
      <c r="F807" s="1"/>
      <c r="G807" s="1"/>
      <c r="H807" s="1"/>
    </row>
    <row r="808" spans="1:8" s="8" customFormat="1" ht="15" customHeight="1" x14ac:dyDescent="0.25">
      <c r="A808" s="6" t="s">
        <v>178</v>
      </c>
      <c r="B808" s="18" t="s">
        <v>102</v>
      </c>
      <c r="C808" s="34"/>
    </row>
    <row r="809" spans="1:8" s="8" customFormat="1" ht="15" customHeight="1" x14ac:dyDescent="0.25">
      <c r="A809" s="22" t="s">
        <v>443</v>
      </c>
      <c r="B809" s="10" t="s">
        <v>235</v>
      </c>
      <c r="C809" s="34"/>
    </row>
    <row r="810" spans="1:8" s="8" customFormat="1" ht="15" customHeight="1" x14ac:dyDescent="0.25">
      <c r="A810" s="22" t="s">
        <v>229</v>
      </c>
      <c r="B810" s="19" t="s">
        <v>230</v>
      </c>
      <c r="C810" s="34"/>
    </row>
    <row r="811" spans="1:8" s="8" customFormat="1" ht="15" customHeight="1" x14ac:dyDescent="0.25">
      <c r="A811" s="32" t="s">
        <v>175</v>
      </c>
      <c r="B811" s="17" t="s">
        <v>444</v>
      </c>
      <c r="C811" s="34"/>
    </row>
    <row r="812" spans="1:8" s="1" customFormat="1" ht="15" customHeight="1" x14ac:dyDescent="0.3">
      <c r="A812" s="6" t="s">
        <v>176</v>
      </c>
      <c r="B812" s="18" t="s">
        <v>177</v>
      </c>
      <c r="C812" s="34"/>
      <c r="D812" s="8"/>
      <c r="E812" s="8"/>
      <c r="F812" s="8"/>
      <c r="G812" s="8"/>
      <c r="H812" s="8"/>
    </row>
    <row r="813" spans="1:8" s="2" customFormat="1" ht="15" customHeight="1" x14ac:dyDescent="0.25">
      <c r="A813" s="22" t="s">
        <v>382</v>
      </c>
      <c r="B813" s="10" t="s">
        <v>381</v>
      </c>
      <c r="C813" s="34"/>
      <c r="D813" s="8"/>
      <c r="E813" s="8"/>
      <c r="F813" s="8"/>
      <c r="G813" s="8"/>
      <c r="H813" s="8"/>
    </row>
    <row r="814" spans="1:8" s="1" customFormat="1" ht="15" customHeight="1" x14ac:dyDescent="0.3">
      <c r="A814" s="22" t="s">
        <v>422</v>
      </c>
      <c r="B814" s="10" t="s">
        <v>311</v>
      </c>
      <c r="C814" s="34"/>
      <c r="D814" s="8"/>
      <c r="E814" s="8"/>
      <c r="F814" s="8"/>
      <c r="G814" s="8"/>
      <c r="H814" s="8"/>
    </row>
    <row r="815" spans="1:8" s="9" customFormat="1" ht="15" customHeight="1" x14ac:dyDescent="0.25">
      <c r="A815" s="22" t="s">
        <v>403</v>
      </c>
      <c r="B815" s="19" t="s">
        <v>418</v>
      </c>
      <c r="C815" s="34"/>
      <c r="D815" s="8"/>
      <c r="E815" s="8"/>
      <c r="F815" s="8"/>
      <c r="G815" s="8"/>
      <c r="H815" s="8"/>
    </row>
    <row r="816" spans="1:8" s="2" customFormat="1" ht="15" customHeight="1" x14ac:dyDescent="0.25">
      <c r="A816" s="6" t="s">
        <v>163</v>
      </c>
      <c r="B816" s="18" t="s">
        <v>164</v>
      </c>
      <c r="C816" s="34"/>
      <c r="D816" s="8" t="s">
        <v>22</v>
      </c>
      <c r="E816" s="8"/>
      <c r="F816" s="8"/>
      <c r="G816" s="8"/>
      <c r="H816" s="8"/>
    </row>
    <row r="817" spans="1:8" s="8" customFormat="1" ht="15" customHeight="1" x14ac:dyDescent="0.25">
      <c r="A817" s="22" t="s">
        <v>402</v>
      </c>
      <c r="B817" s="10" t="s">
        <v>401</v>
      </c>
      <c r="C817" s="34"/>
    </row>
    <row r="818" spans="1:8" s="8" customFormat="1" ht="15" customHeight="1" x14ac:dyDescent="0.25">
      <c r="A818" s="22" t="s">
        <v>463</v>
      </c>
      <c r="B818" s="10" t="s">
        <v>446</v>
      </c>
      <c r="C818" s="34"/>
    </row>
    <row r="819" spans="1:8" s="8" customFormat="1" ht="15" customHeight="1" x14ac:dyDescent="0.25">
      <c r="A819" s="32" t="s">
        <v>112</v>
      </c>
      <c r="B819" s="17" t="s">
        <v>113</v>
      </c>
      <c r="C819" s="35"/>
    </row>
    <row r="820" spans="1:8" s="8" customFormat="1" ht="15" customHeight="1" x14ac:dyDescent="0.25">
      <c r="A820" s="22" t="s">
        <v>412</v>
      </c>
      <c r="B820" s="10" t="s">
        <v>413</v>
      </c>
      <c r="C820" s="34"/>
    </row>
    <row r="821" spans="1:8" s="8" customFormat="1" ht="15" customHeight="1" x14ac:dyDescent="0.25">
      <c r="A821" s="22" t="s">
        <v>368</v>
      </c>
      <c r="B821" s="10" t="s">
        <v>367</v>
      </c>
      <c r="C821" s="34"/>
    </row>
    <row r="822" spans="1:8" s="8" customFormat="1" ht="15" customHeight="1" x14ac:dyDescent="0.25">
      <c r="A822" s="22" t="s">
        <v>448</v>
      </c>
      <c r="B822" s="10" t="s">
        <v>447</v>
      </c>
      <c r="C822" s="34"/>
    </row>
    <row r="823" spans="1:8" s="8" customFormat="1" ht="15" customHeight="1" x14ac:dyDescent="0.25">
      <c r="A823" s="22" t="s">
        <v>450</v>
      </c>
      <c r="B823" s="31" t="s">
        <v>449</v>
      </c>
      <c r="C823" s="34"/>
    </row>
    <row r="824" spans="1:8" s="8" customFormat="1" ht="15" customHeight="1" x14ac:dyDescent="0.25">
      <c r="A824" s="22" t="s">
        <v>252</v>
      </c>
      <c r="B824" s="10" t="s">
        <v>251</v>
      </c>
      <c r="C824" s="34"/>
    </row>
    <row r="825" spans="1:8" s="2" customFormat="1" ht="15" customHeight="1" x14ac:dyDescent="0.25">
      <c r="A825" s="22">
        <v>109000</v>
      </c>
      <c r="B825" s="10" t="s">
        <v>302</v>
      </c>
      <c r="C825" s="34"/>
      <c r="D825" s="8"/>
      <c r="E825" s="8"/>
      <c r="F825" s="8"/>
      <c r="G825" s="8"/>
      <c r="H825" s="8"/>
    </row>
    <row r="826" spans="1:8" s="2" customFormat="1" ht="15" customHeight="1" x14ac:dyDescent="0.25">
      <c r="A826" s="22" t="s">
        <v>458</v>
      </c>
      <c r="B826" s="10" t="s">
        <v>387</v>
      </c>
      <c r="C826" s="34"/>
      <c r="D826" s="8"/>
      <c r="E826" s="8"/>
      <c r="F826" s="8"/>
      <c r="G826" s="8"/>
      <c r="H826" s="8"/>
    </row>
    <row r="827" spans="1:8" s="8" customFormat="1" ht="15" customHeight="1" x14ac:dyDescent="0.25">
      <c r="A827" s="6" t="s">
        <v>155</v>
      </c>
      <c r="B827" s="20" t="s">
        <v>156</v>
      </c>
      <c r="C827" s="34"/>
    </row>
    <row r="828" spans="1:8" s="8" customFormat="1" ht="15" customHeight="1" x14ac:dyDescent="0.25">
      <c r="A828" s="6" t="s">
        <v>122</v>
      </c>
      <c r="B828" s="20" t="s">
        <v>123</v>
      </c>
      <c r="C828" s="34"/>
      <c r="E828" s="9"/>
      <c r="F828" s="9"/>
      <c r="G828" s="9"/>
      <c r="H828" s="9"/>
    </row>
    <row r="829" spans="1:8" s="8" customFormat="1" ht="15" customHeight="1" x14ac:dyDescent="0.25">
      <c r="A829" s="22">
        <v>118610</v>
      </c>
      <c r="B829" s="10" t="s">
        <v>203</v>
      </c>
      <c r="C829" s="34"/>
    </row>
    <row r="830" spans="1:8" s="8" customFormat="1" ht="15" customHeight="1" x14ac:dyDescent="0.25">
      <c r="A830" s="22" t="s">
        <v>435</v>
      </c>
      <c r="B830" s="19" t="s">
        <v>207</v>
      </c>
      <c r="C830" s="34"/>
    </row>
    <row r="831" spans="1:8" s="8" customFormat="1" ht="15" customHeight="1" x14ac:dyDescent="0.25">
      <c r="A831" s="22" t="s">
        <v>456</v>
      </c>
      <c r="B831" s="10" t="s">
        <v>356</v>
      </c>
      <c r="C831" s="34"/>
    </row>
    <row r="832" spans="1:8" s="8" customFormat="1" ht="15" customHeight="1" x14ac:dyDescent="0.25">
      <c r="A832" s="24">
        <v>148550</v>
      </c>
      <c r="B832" s="10" t="s">
        <v>391</v>
      </c>
      <c r="C832" s="34"/>
    </row>
    <row r="833" spans="1:8" s="8" customFormat="1" ht="15" customHeight="1" x14ac:dyDescent="0.25">
      <c r="A833" s="24">
        <v>150036</v>
      </c>
      <c r="B833" s="10" t="s">
        <v>362</v>
      </c>
      <c r="C833" s="34"/>
    </row>
    <row r="834" spans="1:8" s="8" customFormat="1" ht="15" customHeight="1" x14ac:dyDescent="0.25">
      <c r="A834" s="22" t="s">
        <v>457</v>
      </c>
      <c r="B834" s="10" t="s">
        <v>408</v>
      </c>
      <c r="C834" s="34"/>
    </row>
    <row r="835" spans="1:8" s="8" customFormat="1" ht="15" customHeight="1" x14ac:dyDescent="0.25">
      <c r="A835" s="24">
        <v>246410</v>
      </c>
      <c r="B835" s="10" t="s">
        <v>392</v>
      </c>
      <c r="C835" s="34"/>
    </row>
    <row r="836" spans="1:8" s="8" customFormat="1" ht="15" customHeight="1" x14ac:dyDescent="0.25">
      <c r="A836" s="22" t="s">
        <v>410</v>
      </c>
      <c r="B836" s="10" t="s">
        <v>411</v>
      </c>
      <c r="C836" s="34"/>
    </row>
    <row r="837" spans="1:8" s="8" customFormat="1" ht="15" customHeight="1" x14ac:dyDescent="0.25">
      <c r="A837" s="22">
        <v>321030</v>
      </c>
      <c r="B837" s="10" t="s">
        <v>310</v>
      </c>
      <c r="C837" s="34"/>
    </row>
    <row r="838" spans="1:8" s="8" customFormat="1" ht="15" customHeight="1" x14ac:dyDescent="0.25">
      <c r="A838" s="24">
        <v>330510</v>
      </c>
      <c r="B838" s="10" t="s">
        <v>419</v>
      </c>
      <c r="C838" s="34"/>
    </row>
    <row r="839" spans="1:8" s="8" customFormat="1" ht="15" customHeight="1" x14ac:dyDescent="0.25">
      <c r="A839" s="22">
        <v>337500</v>
      </c>
      <c r="B839" s="19" t="s">
        <v>248</v>
      </c>
      <c r="C839" s="34"/>
    </row>
    <row r="840" spans="1:8" s="8" customFormat="1" ht="15" customHeight="1" x14ac:dyDescent="0.25">
      <c r="A840" s="22" t="s">
        <v>384</v>
      </c>
      <c r="B840" s="10" t="s">
        <v>383</v>
      </c>
      <c r="C840" s="34"/>
    </row>
    <row r="841" spans="1:8" s="8" customFormat="1" ht="15" customHeight="1" x14ac:dyDescent="0.25">
      <c r="A841" s="22">
        <v>412015</v>
      </c>
      <c r="B841" s="10" t="s">
        <v>307</v>
      </c>
      <c r="C841" s="34"/>
    </row>
    <row r="842" spans="1:8" s="8" customFormat="1" ht="15" customHeight="1" x14ac:dyDescent="0.25">
      <c r="A842" s="24">
        <v>425035</v>
      </c>
      <c r="B842" s="10" t="s">
        <v>420</v>
      </c>
      <c r="C842" s="34"/>
    </row>
    <row r="843" spans="1:8" s="8" customFormat="1" ht="15" customHeight="1" x14ac:dyDescent="0.25">
      <c r="A843" s="22" t="s">
        <v>409</v>
      </c>
      <c r="B843" s="19" t="s">
        <v>33</v>
      </c>
      <c r="C843" s="34"/>
    </row>
    <row r="844" spans="1:8" s="8" customFormat="1" ht="15" customHeight="1" x14ac:dyDescent="0.25">
      <c r="A844" s="22">
        <v>526000</v>
      </c>
      <c r="B844" s="10" t="s">
        <v>322</v>
      </c>
      <c r="C844" s="34"/>
    </row>
    <row r="845" spans="1:8" s="8" customFormat="1" ht="15" customHeight="1" x14ac:dyDescent="0.3">
      <c r="A845" s="24">
        <v>542201</v>
      </c>
      <c r="B845" s="10" t="s">
        <v>475</v>
      </c>
      <c r="C845" s="34"/>
      <c r="D845" s="3"/>
      <c r="E845" s="1"/>
      <c r="F845" s="1"/>
      <c r="G845" s="1"/>
      <c r="H845" s="1"/>
    </row>
    <row r="846" spans="1:8" s="8" customFormat="1" ht="15" customHeight="1" x14ac:dyDescent="0.25">
      <c r="A846" s="6" t="s">
        <v>165</v>
      </c>
      <c r="B846" s="20" t="s">
        <v>166</v>
      </c>
      <c r="C846" s="34"/>
    </row>
    <row r="847" spans="1:8" s="8" customFormat="1" ht="15" customHeight="1" x14ac:dyDescent="0.25">
      <c r="A847" s="22" t="s">
        <v>245</v>
      </c>
      <c r="B847" s="10" t="s">
        <v>244</v>
      </c>
      <c r="C847" s="34"/>
    </row>
    <row r="848" spans="1:8" s="8" customFormat="1" ht="15" customHeight="1" x14ac:dyDescent="0.25">
      <c r="A848" s="32">
        <v>670145</v>
      </c>
      <c r="B848" s="17" t="s">
        <v>184</v>
      </c>
      <c r="C848" s="34"/>
    </row>
    <row r="849" spans="1:8" s="8" customFormat="1" ht="15" customHeight="1" x14ac:dyDescent="0.25">
      <c r="A849" s="22" t="s">
        <v>232</v>
      </c>
      <c r="B849" s="10" t="s">
        <v>231</v>
      </c>
      <c r="C849" s="34"/>
    </row>
    <row r="850" spans="1:8" s="8" customFormat="1" ht="15" customHeight="1" x14ac:dyDescent="0.25">
      <c r="A850" s="22" t="s">
        <v>416</v>
      </c>
      <c r="B850" s="10" t="s">
        <v>417</v>
      </c>
      <c r="C850" s="34"/>
    </row>
    <row r="851" spans="1:8" s="8" customFormat="1" ht="15" customHeight="1" x14ac:dyDescent="0.25">
      <c r="A851" s="22" t="s">
        <v>226</v>
      </c>
      <c r="B851" s="10" t="s">
        <v>225</v>
      </c>
      <c r="C851" s="34"/>
    </row>
    <row r="852" spans="1:8" s="8" customFormat="1" ht="15" customHeight="1" x14ac:dyDescent="0.25">
      <c r="A852" s="22" t="s">
        <v>224</v>
      </c>
      <c r="B852" s="10" t="s">
        <v>223</v>
      </c>
      <c r="C852" s="34"/>
    </row>
    <row r="853" spans="1:8" s="8" customFormat="1" ht="15" customHeight="1" x14ac:dyDescent="0.25">
      <c r="A853" s="22">
        <v>677040</v>
      </c>
      <c r="B853" s="10" t="s">
        <v>222</v>
      </c>
      <c r="C853" s="34"/>
    </row>
    <row r="854" spans="1:8" s="8" customFormat="1" ht="15" customHeight="1" x14ac:dyDescent="0.25">
      <c r="A854" s="22" t="s">
        <v>243</v>
      </c>
      <c r="B854" s="10" t="s">
        <v>242</v>
      </c>
      <c r="C854" s="34"/>
    </row>
    <row r="855" spans="1:8" s="8" customFormat="1" ht="15" customHeight="1" x14ac:dyDescent="0.25">
      <c r="A855" s="22" t="s">
        <v>451</v>
      </c>
      <c r="B855" s="10" t="s">
        <v>421</v>
      </c>
      <c r="C855" s="34"/>
    </row>
    <row r="856" spans="1:8" s="8" customFormat="1" ht="15" customHeight="1" x14ac:dyDescent="0.25">
      <c r="A856" s="32" t="s">
        <v>120</v>
      </c>
      <c r="B856" s="18" t="s">
        <v>121</v>
      </c>
      <c r="C856" s="34"/>
    </row>
    <row r="857" spans="1:8" s="8" customFormat="1" ht="15" customHeight="1" x14ac:dyDescent="0.3">
      <c r="A857" s="22">
        <v>802000</v>
      </c>
      <c r="B857" s="19" t="s">
        <v>191</v>
      </c>
      <c r="C857" s="34"/>
      <c r="D857" s="3"/>
      <c r="E857" s="1"/>
      <c r="F857" s="1"/>
      <c r="G857" s="1"/>
      <c r="H857" s="1"/>
    </row>
    <row r="858" spans="1:8" s="8" customFormat="1" ht="15" customHeight="1" x14ac:dyDescent="0.25">
      <c r="A858" s="22" t="s">
        <v>276</v>
      </c>
      <c r="B858" s="13" t="s">
        <v>59</v>
      </c>
      <c r="C858" s="34"/>
      <c r="E858" s="9"/>
      <c r="F858" s="9"/>
      <c r="G858" s="9"/>
      <c r="H858" s="9"/>
    </row>
    <row r="859" spans="1:8" s="8" customFormat="1" ht="15" customHeight="1" x14ac:dyDescent="0.25">
      <c r="A859" s="32" t="s">
        <v>146</v>
      </c>
      <c r="B859" s="20" t="s">
        <v>147</v>
      </c>
      <c r="C859" s="34"/>
    </row>
    <row r="860" spans="1:8" s="8" customFormat="1" ht="15" customHeight="1" x14ac:dyDescent="0.25">
      <c r="A860" s="22">
        <v>815508</v>
      </c>
      <c r="B860" s="10" t="s">
        <v>202</v>
      </c>
      <c r="C860" s="34"/>
    </row>
    <row r="861" spans="1:8" s="8" customFormat="1" ht="15" customHeight="1" x14ac:dyDescent="0.25">
      <c r="A861" s="22">
        <v>821908</v>
      </c>
      <c r="B861" s="10" t="s">
        <v>204</v>
      </c>
      <c r="C861" s="34"/>
    </row>
    <row r="862" spans="1:8" s="8" customFormat="1" ht="15" customHeight="1" x14ac:dyDescent="0.25">
      <c r="A862" s="22" t="s">
        <v>303</v>
      </c>
      <c r="B862" s="10" t="s">
        <v>305</v>
      </c>
      <c r="C862" s="34"/>
    </row>
    <row r="863" spans="1:8" s="8" customFormat="1" ht="15" customHeight="1" x14ac:dyDescent="0.25">
      <c r="A863" s="22" t="s">
        <v>304</v>
      </c>
      <c r="B863" s="10" t="s">
        <v>306</v>
      </c>
      <c r="C863" s="34"/>
    </row>
    <row r="864" spans="1:8" s="8" customFormat="1" ht="15" customHeight="1" x14ac:dyDescent="0.25">
      <c r="A864" s="22">
        <v>834558</v>
      </c>
      <c r="B864" s="10" t="s">
        <v>236</v>
      </c>
      <c r="C864" s="34"/>
      <c r="D864" s="9"/>
      <c r="E864" s="9"/>
      <c r="F864" s="9"/>
      <c r="G864" s="9"/>
      <c r="H864" s="9"/>
    </row>
    <row r="865" spans="1:8" s="8" customFormat="1" ht="15" customHeight="1" x14ac:dyDescent="0.25">
      <c r="A865" s="6" t="s">
        <v>140</v>
      </c>
      <c r="B865" s="20" t="s">
        <v>141</v>
      </c>
      <c r="C865" s="34"/>
    </row>
    <row r="866" spans="1:8" s="8" customFormat="1" ht="15" customHeight="1" x14ac:dyDescent="0.25">
      <c r="A866" s="6" t="s">
        <v>142</v>
      </c>
      <c r="B866" s="20" t="s">
        <v>143</v>
      </c>
      <c r="C866" s="34"/>
    </row>
    <row r="867" spans="1:8" s="8" customFormat="1" ht="15" customHeight="1" x14ac:dyDescent="0.25">
      <c r="A867" s="22">
        <v>839608</v>
      </c>
      <c r="B867" s="10" t="s">
        <v>194</v>
      </c>
      <c r="C867" s="34"/>
    </row>
    <row r="868" spans="1:8" s="8" customFormat="1" ht="15" customHeight="1" x14ac:dyDescent="0.25">
      <c r="A868" s="22" t="s">
        <v>470</v>
      </c>
      <c r="B868" s="10" t="s">
        <v>472</v>
      </c>
      <c r="C868" s="34"/>
    </row>
    <row r="869" spans="1:8" s="8" customFormat="1" ht="15" customHeight="1" x14ac:dyDescent="0.25">
      <c r="A869" s="22" t="s">
        <v>467</v>
      </c>
      <c r="B869" s="10" t="s">
        <v>469</v>
      </c>
      <c r="C869" s="34"/>
    </row>
    <row r="870" spans="1:8" s="8" customFormat="1" ht="15" customHeight="1" x14ac:dyDescent="0.25">
      <c r="A870" s="22" t="s">
        <v>275</v>
      </c>
      <c r="B870" s="19" t="s">
        <v>60</v>
      </c>
      <c r="C870" s="34"/>
    </row>
    <row r="871" spans="1:8" s="8" customFormat="1" ht="15" customHeight="1" x14ac:dyDescent="0.25">
      <c r="A871" s="22">
        <v>845606</v>
      </c>
      <c r="B871" s="10" t="s">
        <v>241</v>
      </c>
      <c r="C871" s="34"/>
    </row>
    <row r="872" spans="1:8" s="8" customFormat="1" ht="15" customHeight="1" x14ac:dyDescent="0.25">
      <c r="A872" s="22" t="s">
        <v>274</v>
      </c>
      <c r="B872" s="19" t="s">
        <v>415</v>
      </c>
      <c r="C872" s="34"/>
    </row>
    <row r="873" spans="1:8" s="8" customFormat="1" ht="15" customHeight="1" x14ac:dyDescent="0.25">
      <c r="A873" s="22">
        <v>850408</v>
      </c>
      <c r="B873" s="10" t="s">
        <v>255</v>
      </c>
      <c r="C873" s="34"/>
    </row>
    <row r="874" spans="1:8" s="8" customFormat="1" ht="15" customHeight="1" x14ac:dyDescent="0.25">
      <c r="A874" s="22">
        <v>860101</v>
      </c>
      <c r="B874" s="10" t="s">
        <v>312</v>
      </c>
      <c r="C874" s="34"/>
    </row>
    <row r="875" spans="1:8" s="8" customFormat="1" ht="15" customHeight="1" x14ac:dyDescent="0.25">
      <c r="A875" s="22" t="s">
        <v>464</v>
      </c>
      <c r="B875" s="10" t="s">
        <v>465</v>
      </c>
      <c r="C875" s="34"/>
    </row>
    <row r="876" spans="1:8" s="8" customFormat="1" ht="15" customHeight="1" x14ac:dyDescent="0.25">
      <c r="A876" s="22">
        <v>862608</v>
      </c>
      <c r="B876" s="10" t="s">
        <v>319</v>
      </c>
      <c r="C876" s="34"/>
    </row>
    <row r="877" spans="1:8" s="8" customFormat="1" ht="15" customHeight="1" x14ac:dyDescent="0.25">
      <c r="A877" s="32" t="s">
        <v>151</v>
      </c>
      <c r="B877" s="17" t="s">
        <v>152</v>
      </c>
      <c r="C877" s="34"/>
    </row>
    <row r="878" spans="1:8" s="8" customFormat="1" ht="15" customHeight="1" x14ac:dyDescent="0.2">
      <c r="A878" s="22" t="s">
        <v>423</v>
      </c>
      <c r="B878" s="10" t="s">
        <v>199</v>
      </c>
      <c r="C878" s="36"/>
    </row>
    <row r="879" spans="1:8" s="8" customFormat="1" ht="15" customHeight="1" x14ac:dyDescent="0.25">
      <c r="A879" s="24">
        <v>884778</v>
      </c>
      <c r="B879" s="10" t="s">
        <v>390</v>
      </c>
      <c r="C879" s="34"/>
    </row>
    <row r="880" spans="1:8" s="8" customFormat="1" ht="15" customHeight="1" x14ac:dyDescent="0.3">
      <c r="A880" s="22" t="s">
        <v>190</v>
      </c>
      <c r="B880" s="10" t="s">
        <v>189</v>
      </c>
      <c r="C880" s="35"/>
      <c r="D880" s="1"/>
      <c r="E880" s="3"/>
      <c r="F880" s="3"/>
      <c r="G880" s="3"/>
      <c r="H880" s="3"/>
    </row>
    <row r="881" spans="1:8" s="8" customFormat="1" ht="15" customHeight="1" x14ac:dyDescent="0.3">
      <c r="A881" s="22" t="s">
        <v>192</v>
      </c>
      <c r="B881" s="16" t="s">
        <v>193</v>
      </c>
      <c r="C881" s="34"/>
      <c r="D881" s="1"/>
      <c r="E881" s="3"/>
      <c r="F881" s="3"/>
      <c r="G881" s="3"/>
      <c r="H881" s="3"/>
    </row>
    <row r="882" spans="1:8" s="8" customFormat="1" ht="15" customHeight="1" x14ac:dyDescent="0.25">
      <c r="A882" s="32" t="s">
        <v>124</v>
      </c>
      <c r="B882" s="20" t="s">
        <v>125</v>
      </c>
      <c r="C882" s="34"/>
      <c r="D882" s="3"/>
      <c r="E882" s="3"/>
      <c r="F882" s="3"/>
      <c r="G882" s="3"/>
      <c r="H882" s="3"/>
    </row>
    <row r="883" spans="1:8" s="8" customFormat="1" ht="15" customHeight="1" x14ac:dyDescent="0.25">
      <c r="A883" s="32" t="s">
        <v>126</v>
      </c>
      <c r="B883" s="17" t="s">
        <v>127</v>
      </c>
      <c r="C883" s="34"/>
      <c r="D883" s="9"/>
      <c r="E883" s="9"/>
      <c r="F883" s="9"/>
      <c r="G883" s="9"/>
      <c r="H883" s="9"/>
    </row>
    <row r="884" spans="1:8" s="8" customFormat="1" ht="15" customHeight="1" x14ac:dyDescent="0.25">
      <c r="A884" s="32" t="s">
        <v>128</v>
      </c>
      <c r="B884" s="20" t="s">
        <v>129</v>
      </c>
      <c r="C884" s="34"/>
      <c r="D884" s="9"/>
      <c r="E884" s="9"/>
      <c r="F884" s="9"/>
      <c r="G884" s="9"/>
      <c r="H884" s="9"/>
    </row>
    <row r="885" spans="1:8" s="8" customFormat="1" ht="15" customHeight="1" x14ac:dyDescent="0.25">
      <c r="A885" s="6" t="s">
        <v>138</v>
      </c>
      <c r="B885" s="20" t="s">
        <v>139</v>
      </c>
      <c r="C885" s="34"/>
      <c r="E885" s="9"/>
      <c r="F885" s="9"/>
      <c r="G885" s="9"/>
      <c r="H885" s="9"/>
    </row>
    <row r="886" spans="1:8" s="1" customFormat="1" ht="15" customHeight="1" x14ac:dyDescent="0.3">
      <c r="A886" s="32" t="s">
        <v>144</v>
      </c>
      <c r="B886" s="20" t="s">
        <v>145</v>
      </c>
      <c r="C886" s="34"/>
      <c r="D886" s="8"/>
      <c r="E886" s="8"/>
      <c r="F886" s="8"/>
      <c r="G886" s="8"/>
      <c r="H886" s="8"/>
    </row>
    <row r="887" spans="1:8" s="8" customFormat="1" ht="15" customHeight="1" x14ac:dyDescent="0.25">
      <c r="A887" s="32" t="s">
        <v>148</v>
      </c>
      <c r="B887" s="17" t="s">
        <v>149</v>
      </c>
      <c r="C887" s="34"/>
    </row>
    <row r="888" spans="1:8" s="8" customFormat="1" ht="15" customHeight="1" x14ac:dyDescent="0.25">
      <c r="A888" s="22" t="s">
        <v>197</v>
      </c>
      <c r="B888" s="10" t="s">
        <v>198</v>
      </c>
      <c r="C888" s="34"/>
    </row>
    <row r="889" spans="1:8" s="8" customFormat="1" ht="15" customHeight="1" x14ac:dyDescent="0.25">
      <c r="A889" s="22" t="s">
        <v>271</v>
      </c>
      <c r="B889" s="10" t="s">
        <v>270</v>
      </c>
      <c r="C889" s="34"/>
    </row>
    <row r="890" spans="1:8" s="8" customFormat="1" ht="15" customHeight="1" x14ac:dyDescent="0.25">
      <c r="A890" s="22" t="s">
        <v>452</v>
      </c>
      <c r="B890" s="10" t="s">
        <v>453</v>
      </c>
      <c r="C890" s="34"/>
    </row>
    <row r="891" spans="1:8" s="8" customFormat="1" ht="15" customHeight="1" x14ac:dyDescent="0.25">
      <c r="A891" s="22" t="s">
        <v>277</v>
      </c>
      <c r="B891" s="10" t="s">
        <v>278</v>
      </c>
      <c r="C891" s="34"/>
    </row>
    <row r="892" spans="1:8" s="8" customFormat="1" ht="15" customHeight="1" x14ac:dyDescent="0.25">
      <c r="A892" s="22" t="s">
        <v>315</v>
      </c>
      <c r="B892" s="10" t="s">
        <v>316</v>
      </c>
      <c r="C892" s="34"/>
    </row>
    <row r="893" spans="1:8" s="8" customFormat="1" ht="15" customHeight="1" x14ac:dyDescent="0.25">
      <c r="A893" s="22" t="s">
        <v>279</v>
      </c>
      <c r="B893" s="10" t="s">
        <v>280</v>
      </c>
      <c r="C893" s="34"/>
    </row>
    <row r="894" spans="1:8" s="8" customFormat="1" ht="15" customHeight="1" x14ac:dyDescent="0.25">
      <c r="A894" s="22" t="s">
        <v>273</v>
      </c>
      <c r="B894" s="19" t="s">
        <v>272</v>
      </c>
      <c r="C894" s="34"/>
    </row>
    <row r="895" spans="1:8" s="8" customFormat="1" ht="15" customHeight="1" x14ac:dyDescent="0.25">
      <c r="A895" s="22" t="s">
        <v>200</v>
      </c>
      <c r="B895" s="10" t="s">
        <v>201</v>
      </c>
      <c r="C895" s="34"/>
    </row>
    <row r="896" spans="1:8" s="8" customFormat="1" ht="15" customHeight="1" x14ac:dyDescent="0.25">
      <c r="A896" s="22" t="s">
        <v>282</v>
      </c>
      <c r="B896" s="10" t="s">
        <v>281</v>
      </c>
      <c r="C896" s="34"/>
    </row>
    <row r="897" spans="1:8" s="8" customFormat="1" ht="15" customHeight="1" x14ac:dyDescent="0.25">
      <c r="A897" s="22" t="s">
        <v>298</v>
      </c>
      <c r="B897" s="10" t="s">
        <v>299</v>
      </c>
      <c r="C897" s="34"/>
      <c r="D897" s="2"/>
      <c r="E897" s="2"/>
      <c r="F897" s="2"/>
      <c r="G897" s="2"/>
      <c r="H897" s="2"/>
    </row>
    <row r="898" spans="1:8" s="8" customFormat="1" ht="15" customHeight="1" x14ac:dyDescent="0.25">
      <c r="A898" s="22" t="s">
        <v>214</v>
      </c>
      <c r="B898" s="10" t="s">
        <v>213</v>
      </c>
      <c r="C898" s="34"/>
    </row>
    <row r="899" spans="1:8" s="8" customFormat="1" ht="15" customHeight="1" x14ac:dyDescent="0.25">
      <c r="A899" s="32" t="s">
        <v>171</v>
      </c>
      <c r="B899" s="21" t="s">
        <v>172</v>
      </c>
      <c r="C899" s="34"/>
    </row>
    <row r="900" spans="1:8" s="8" customFormat="1" ht="15" customHeight="1" x14ac:dyDescent="0.25">
      <c r="A900" s="22" t="s">
        <v>228</v>
      </c>
      <c r="B900" s="10" t="s">
        <v>227</v>
      </c>
      <c r="C900" s="34"/>
    </row>
    <row r="901" spans="1:8" s="8" customFormat="1" ht="15" customHeight="1" x14ac:dyDescent="0.25">
      <c r="A901" s="22" t="s">
        <v>205</v>
      </c>
      <c r="B901" s="10" t="s">
        <v>206</v>
      </c>
      <c r="C901" s="34"/>
    </row>
    <row r="902" spans="1:8" s="8" customFormat="1" ht="15" customHeight="1" x14ac:dyDescent="0.25">
      <c r="A902" s="22" t="s">
        <v>237</v>
      </c>
      <c r="B902" s="19" t="s">
        <v>238</v>
      </c>
      <c r="C902" s="34"/>
      <c r="E902" s="9"/>
      <c r="F902" s="9"/>
      <c r="G902" s="9"/>
      <c r="H902" s="9"/>
    </row>
    <row r="903" spans="1:8" s="8" customFormat="1" ht="15" customHeight="1" x14ac:dyDescent="0.25">
      <c r="A903" s="22" t="s">
        <v>240</v>
      </c>
      <c r="B903" s="10" t="s">
        <v>239</v>
      </c>
      <c r="C903" s="34"/>
      <c r="E903" s="9"/>
      <c r="F903" s="9"/>
      <c r="G903" s="9"/>
      <c r="H903" s="9"/>
    </row>
    <row r="904" spans="1:8" s="8" customFormat="1" ht="15" customHeight="1" x14ac:dyDescent="0.25">
      <c r="A904" s="32" t="s">
        <v>150</v>
      </c>
      <c r="B904" s="20" t="s">
        <v>221</v>
      </c>
      <c r="C904" s="34"/>
    </row>
    <row r="905" spans="1:8" s="8" customFormat="1" ht="15" customHeight="1" x14ac:dyDescent="0.25">
      <c r="A905" s="32" t="s">
        <v>219</v>
      </c>
      <c r="B905" s="20" t="s">
        <v>220</v>
      </c>
      <c r="C905" s="34"/>
    </row>
    <row r="906" spans="1:8" s="8" customFormat="1" ht="15" customHeight="1" x14ac:dyDescent="0.25">
      <c r="A906" s="32" t="s">
        <v>173</v>
      </c>
      <c r="B906" s="20" t="s">
        <v>174</v>
      </c>
      <c r="C906" s="34"/>
    </row>
    <row r="907" spans="1:8" s="8" customFormat="1" ht="15" customHeight="1" x14ac:dyDescent="0.25">
      <c r="A907" s="22" t="s">
        <v>249</v>
      </c>
      <c r="B907" s="19" t="s">
        <v>250</v>
      </c>
      <c r="C907" s="34"/>
    </row>
    <row r="908" spans="1:8" s="8" customFormat="1" ht="15" customHeight="1" x14ac:dyDescent="0.25">
      <c r="A908" s="22" t="s">
        <v>188</v>
      </c>
      <c r="B908" s="16" t="s">
        <v>187</v>
      </c>
      <c r="C908" s="34"/>
    </row>
    <row r="909" spans="1:8" s="8" customFormat="1" ht="15" customHeight="1" x14ac:dyDescent="0.25">
      <c r="A909" s="22" t="s">
        <v>247</v>
      </c>
      <c r="B909" s="10" t="s">
        <v>246</v>
      </c>
      <c r="C909" s="34"/>
    </row>
    <row r="910" spans="1:8" s="8" customFormat="1" ht="15" customHeight="1" x14ac:dyDescent="0.25">
      <c r="A910" s="22" t="s">
        <v>186</v>
      </c>
      <c r="B910" s="16" t="s">
        <v>185</v>
      </c>
      <c r="C910" s="34"/>
    </row>
    <row r="911" spans="1:8" s="8" customFormat="1" ht="15" customHeight="1" x14ac:dyDescent="0.25">
      <c r="A911" s="22" t="s">
        <v>263</v>
      </c>
      <c r="B911" s="10" t="s">
        <v>262</v>
      </c>
      <c r="C911" s="34"/>
    </row>
    <row r="912" spans="1:8" s="8" customFormat="1" ht="15" customHeight="1" x14ac:dyDescent="0.25">
      <c r="A912" s="22" t="s">
        <v>267</v>
      </c>
      <c r="B912" s="10" t="s">
        <v>266</v>
      </c>
      <c r="C912" s="34"/>
    </row>
    <row r="913" spans="1:8" s="8" customFormat="1" ht="15" customHeight="1" x14ac:dyDescent="0.25">
      <c r="A913" s="22" t="s">
        <v>284</v>
      </c>
      <c r="B913" s="10" t="s">
        <v>285</v>
      </c>
      <c r="C913" s="34"/>
    </row>
    <row r="914" spans="1:8" s="8" customFormat="1" ht="15" customHeight="1" x14ac:dyDescent="0.25">
      <c r="A914" s="22" t="s">
        <v>257</v>
      </c>
      <c r="B914" s="10" t="s">
        <v>256</v>
      </c>
      <c r="C914" s="34"/>
    </row>
    <row r="915" spans="1:8" s="8" customFormat="1" ht="15" customHeight="1" x14ac:dyDescent="0.25">
      <c r="A915" s="22" t="s">
        <v>259</v>
      </c>
      <c r="B915" s="10" t="s">
        <v>258</v>
      </c>
      <c r="C915" s="34"/>
    </row>
    <row r="916" spans="1:8" s="8" customFormat="1" ht="15" customHeight="1" x14ac:dyDescent="0.25">
      <c r="A916" s="22" t="s">
        <v>261</v>
      </c>
      <c r="B916" s="10" t="s">
        <v>260</v>
      </c>
      <c r="C916" s="34"/>
    </row>
    <row r="917" spans="1:8" s="8" customFormat="1" ht="15" customHeight="1" x14ac:dyDescent="0.25">
      <c r="A917" s="22" t="s">
        <v>265</v>
      </c>
      <c r="B917" s="10" t="s">
        <v>264</v>
      </c>
      <c r="C917" s="34"/>
    </row>
    <row r="918" spans="1:8" s="8" customFormat="1" ht="15" customHeight="1" x14ac:dyDescent="0.25">
      <c r="A918" s="22" t="s">
        <v>254</v>
      </c>
      <c r="B918" s="10" t="s">
        <v>253</v>
      </c>
      <c r="C918" s="34"/>
    </row>
    <row r="919" spans="1:8" s="8" customFormat="1" ht="15" customHeight="1" x14ac:dyDescent="0.25">
      <c r="A919" s="22" t="s">
        <v>269</v>
      </c>
      <c r="B919" s="10" t="s">
        <v>268</v>
      </c>
      <c r="C919" s="34"/>
    </row>
    <row r="920" spans="1:8" s="8" customFormat="1" ht="15" customHeight="1" x14ac:dyDescent="0.25">
      <c r="A920" s="22" t="s">
        <v>291</v>
      </c>
      <c r="B920" s="10" t="s">
        <v>290</v>
      </c>
      <c r="C920" s="34"/>
    </row>
    <row r="921" spans="1:8" s="8" customFormat="1" ht="15" customHeight="1" x14ac:dyDescent="0.25">
      <c r="A921" s="22" t="s">
        <v>288</v>
      </c>
      <c r="B921" s="10" t="s">
        <v>289</v>
      </c>
      <c r="C921" s="34"/>
    </row>
    <row r="922" spans="1:8" s="8" customFormat="1" ht="15" customHeight="1" x14ac:dyDescent="0.25">
      <c r="A922" s="22" t="s">
        <v>294</v>
      </c>
      <c r="B922" s="10" t="s">
        <v>295</v>
      </c>
      <c r="C922" s="34"/>
    </row>
    <row r="923" spans="1:8" s="8" customFormat="1" ht="15" customHeight="1" x14ac:dyDescent="0.3">
      <c r="A923" s="22" t="s">
        <v>292</v>
      </c>
      <c r="B923" s="10" t="s">
        <v>293</v>
      </c>
      <c r="C923" s="34"/>
      <c r="D923" s="1"/>
      <c r="E923" s="1"/>
      <c r="F923" s="1"/>
      <c r="G923" s="1"/>
      <c r="H923" s="1"/>
    </row>
    <row r="924" spans="1:8" s="8" customFormat="1" ht="15" customHeight="1" x14ac:dyDescent="0.25">
      <c r="A924" s="22" t="s">
        <v>296</v>
      </c>
      <c r="B924" s="10" t="s">
        <v>297</v>
      </c>
      <c r="C924" s="34"/>
    </row>
    <row r="925" spans="1:8" s="8" customFormat="1" ht="15" customHeight="1" x14ac:dyDescent="0.25">
      <c r="A925" s="32" t="s">
        <v>157</v>
      </c>
      <c r="B925" s="20" t="s">
        <v>158</v>
      </c>
      <c r="C925" s="34"/>
    </row>
    <row r="926" spans="1:8" s="8" customFormat="1" ht="15" customHeight="1" x14ac:dyDescent="0.25">
      <c r="A926" s="22" t="s">
        <v>308</v>
      </c>
      <c r="B926" s="10" t="s">
        <v>309</v>
      </c>
      <c r="C926" s="34"/>
    </row>
    <row r="927" spans="1:8" s="8" customFormat="1" ht="15" customHeight="1" x14ac:dyDescent="0.25">
      <c r="A927" s="22" t="s">
        <v>313</v>
      </c>
      <c r="B927" s="10" t="s">
        <v>314</v>
      </c>
      <c r="C927" s="34"/>
    </row>
    <row r="928" spans="1:8" s="8" customFormat="1" ht="15" customHeight="1" x14ac:dyDescent="0.25">
      <c r="A928" s="22" t="s">
        <v>317</v>
      </c>
      <c r="B928" s="10" t="s">
        <v>318</v>
      </c>
      <c r="C928" s="34"/>
    </row>
    <row r="929" spans="1:3" s="8" customFormat="1" ht="15" customHeight="1" x14ac:dyDescent="0.25">
      <c r="A929" s="22" t="s">
        <v>320</v>
      </c>
      <c r="B929" s="10" t="s">
        <v>321</v>
      </c>
      <c r="C929" s="34"/>
    </row>
    <row r="930" spans="1:3" s="8" customFormat="1" ht="15" customHeight="1" x14ac:dyDescent="0.25">
      <c r="A930" s="24" t="s">
        <v>345</v>
      </c>
      <c r="B930" s="10" t="s">
        <v>346</v>
      </c>
      <c r="C930" s="34"/>
    </row>
    <row r="931" spans="1:3" s="8" customFormat="1" ht="15" customHeight="1" x14ac:dyDescent="0.25">
      <c r="A931" s="24">
        <v>865868</v>
      </c>
      <c r="B931" s="10" t="s">
        <v>466</v>
      </c>
      <c r="C931" s="34"/>
    </row>
    <row r="932" spans="1:3" s="8" customFormat="1" ht="15" customHeight="1" x14ac:dyDescent="0.25">
      <c r="A932" s="24" t="s">
        <v>339</v>
      </c>
      <c r="B932" s="10" t="s">
        <v>340</v>
      </c>
      <c r="C932" s="34"/>
    </row>
    <row r="933" spans="1:3" s="8" customFormat="1" ht="15" customHeight="1" x14ac:dyDescent="0.25">
      <c r="A933" s="24" t="s">
        <v>333</v>
      </c>
      <c r="B933" s="10" t="s">
        <v>334</v>
      </c>
      <c r="C933" s="34"/>
    </row>
    <row r="934" spans="1:3" s="8" customFormat="1" ht="15" customHeight="1" x14ac:dyDescent="0.25">
      <c r="A934" s="24" t="s">
        <v>349</v>
      </c>
      <c r="B934" s="10" t="s">
        <v>73</v>
      </c>
      <c r="C934" s="34"/>
    </row>
    <row r="935" spans="1:3" s="8" customFormat="1" ht="15" customHeight="1" x14ac:dyDescent="0.25">
      <c r="A935" s="24" t="s">
        <v>343</v>
      </c>
      <c r="B935" s="10" t="s">
        <v>344</v>
      </c>
      <c r="C935" s="34"/>
    </row>
    <row r="936" spans="1:3" s="8" customFormat="1" ht="15" customHeight="1" x14ac:dyDescent="0.25">
      <c r="A936" s="24" t="s">
        <v>350</v>
      </c>
      <c r="B936" s="10" t="s">
        <v>351</v>
      </c>
      <c r="C936" s="34"/>
    </row>
    <row r="937" spans="1:3" s="8" customFormat="1" ht="15" customHeight="1" x14ac:dyDescent="0.25">
      <c r="A937" s="22" t="s">
        <v>335</v>
      </c>
      <c r="B937" s="19" t="s">
        <v>336</v>
      </c>
      <c r="C937" s="34"/>
    </row>
    <row r="938" spans="1:3" s="8" customFormat="1" ht="15" customHeight="1" x14ac:dyDescent="0.25">
      <c r="A938" s="24" t="s">
        <v>341</v>
      </c>
      <c r="B938" s="10" t="s">
        <v>342</v>
      </c>
      <c r="C938" s="34"/>
    </row>
    <row r="939" spans="1:3" s="8" customFormat="1" ht="15" customHeight="1" x14ac:dyDescent="0.25">
      <c r="A939" s="24" t="s">
        <v>347</v>
      </c>
      <c r="B939" s="10" t="s">
        <v>348</v>
      </c>
      <c r="C939" s="34"/>
    </row>
    <row r="940" spans="1:3" s="8" customFormat="1" ht="15" customHeight="1" x14ac:dyDescent="0.25">
      <c r="A940" s="24" t="s">
        <v>337</v>
      </c>
      <c r="B940" s="10" t="s">
        <v>338</v>
      </c>
      <c r="C940" s="34"/>
    </row>
    <row r="941" spans="1:3" s="8" customFormat="1" ht="15" customHeight="1" x14ac:dyDescent="0.25">
      <c r="A941" s="24" t="s">
        <v>352</v>
      </c>
      <c r="B941" s="10" t="s">
        <v>353</v>
      </c>
      <c r="C941" s="34"/>
    </row>
    <row r="942" spans="1:3" s="8" customFormat="1" ht="15" customHeight="1" x14ac:dyDescent="0.25">
      <c r="A942" s="32" t="s">
        <v>114</v>
      </c>
      <c r="B942" s="17" t="s">
        <v>115</v>
      </c>
      <c r="C942" s="34"/>
    </row>
    <row r="943" spans="1:3" s="8" customFormat="1" ht="15" customHeight="1" x14ac:dyDescent="0.25">
      <c r="A943" s="22" t="s">
        <v>300</v>
      </c>
      <c r="B943" s="10" t="s">
        <v>301</v>
      </c>
      <c r="C943" s="34"/>
    </row>
    <row r="944" spans="1:3" s="8" customFormat="1" ht="15" customHeight="1" x14ac:dyDescent="0.25">
      <c r="A944" s="24" t="s">
        <v>360</v>
      </c>
      <c r="B944" s="10" t="s">
        <v>361</v>
      </c>
      <c r="C944" s="34"/>
    </row>
    <row r="945" spans="1:4" s="8" customFormat="1" ht="15" customHeight="1" x14ac:dyDescent="0.25">
      <c r="A945" s="32" t="s">
        <v>116</v>
      </c>
      <c r="B945" s="17" t="s">
        <v>117</v>
      </c>
      <c r="C945" s="34"/>
    </row>
    <row r="946" spans="1:4" s="8" customFormat="1" ht="15" customHeight="1" x14ac:dyDescent="0.25">
      <c r="A946" s="22" t="s">
        <v>369</v>
      </c>
      <c r="B946" s="10" t="s">
        <v>370</v>
      </c>
      <c r="C946" s="34"/>
    </row>
    <row r="947" spans="1:4" s="8" customFormat="1" ht="15" customHeight="1" x14ac:dyDescent="0.25">
      <c r="A947" s="24" t="s">
        <v>371</v>
      </c>
      <c r="B947" s="10" t="s">
        <v>372</v>
      </c>
      <c r="C947" s="34"/>
    </row>
    <row r="948" spans="1:4" s="8" customFormat="1" ht="15" customHeight="1" x14ac:dyDescent="0.25">
      <c r="A948" s="24" t="s">
        <v>373</v>
      </c>
      <c r="B948" s="10" t="s">
        <v>374</v>
      </c>
      <c r="C948" s="34"/>
    </row>
    <row r="949" spans="1:4" s="8" customFormat="1" ht="15" customHeight="1" x14ac:dyDescent="0.25">
      <c r="A949" s="24" t="s">
        <v>375</v>
      </c>
      <c r="B949" s="10" t="s">
        <v>461</v>
      </c>
      <c r="C949" s="34"/>
    </row>
    <row r="950" spans="1:4" s="8" customFormat="1" ht="15" customHeight="1" x14ac:dyDescent="0.25">
      <c r="A950" s="24" t="s">
        <v>389</v>
      </c>
      <c r="B950" s="10" t="s">
        <v>388</v>
      </c>
      <c r="C950" s="34"/>
    </row>
    <row r="951" spans="1:4" s="8" customFormat="1" ht="15" customHeight="1" x14ac:dyDescent="0.25">
      <c r="A951" s="24" t="s">
        <v>395</v>
      </c>
      <c r="B951" s="10" t="s">
        <v>460</v>
      </c>
      <c r="C951" s="34"/>
    </row>
    <row r="952" spans="1:4" s="8" customFormat="1" ht="15" customHeight="1" x14ac:dyDescent="0.25">
      <c r="A952" s="24" t="s">
        <v>397</v>
      </c>
      <c r="B952" s="10" t="s">
        <v>398</v>
      </c>
      <c r="C952" s="34"/>
    </row>
    <row r="953" spans="1:4" s="8" customFormat="1" ht="15" customHeight="1" x14ac:dyDescent="0.25">
      <c r="A953" s="24" t="s">
        <v>399</v>
      </c>
      <c r="B953" s="10" t="s">
        <v>400</v>
      </c>
      <c r="C953" s="34"/>
    </row>
    <row r="954" spans="1:4" s="8" customFormat="1" ht="15" customHeight="1" x14ac:dyDescent="0.25">
      <c r="A954" s="22" t="s">
        <v>286</v>
      </c>
      <c r="B954" s="10" t="s">
        <v>287</v>
      </c>
      <c r="C954" s="34"/>
    </row>
    <row r="955" spans="1:4" s="8" customFormat="1" ht="15" customHeight="1" x14ac:dyDescent="0.25">
      <c r="A955" s="24" t="s">
        <v>377</v>
      </c>
      <c r="B955" s="10" t="s">
        <v>378</v>
      </c>
      <c r="C955" s="34"/>
    </row>
    <row r="956" spans="1:4" s="8" customFormat="1" ht="15" customHeight="1" x14ac:dyDescent="0.25">
      <c r="A956" s="24" t="s">
        <v>379</v>
      </c>
      <c r="B956" s="10" t="s">
        <v>380</v>
      </c>
      <c r="C956" s="34"/>
    </row>
    <row r="957" spans="1:4" s="8" customFormat="1" ht="15" customHeight="1" x14ac:dyDescent="0.25">
      <c r="A957" s="22"/>
      <c r="B957" s="19" t="s">
        <v>22</v>
      </c>
      <c r="C957" s="34"/>
    </row>
    <row r="958" spans="1:4" s="8" customFormat="1" ht="15" customHeight="1" x14ac:dyDescent="0.25">
      <c r="A958" s="22"/>
      <c r="B958" s="19" t="s">
        <v>22</v>
      </c>
      <c r="C958" s="34"/>
    </row>
    <row r="960" spans="1:4" ht="15" customHeight="1" x14ac:dyDescent="0.25">
      <c r="A960" s="23"/>
      <c r="B960" s="12"/>
      <c r="D960" s="2"/>
    </row>
    <row r="961" spans="1:4" ht="15" customHeight="1" x14ac:dyDescent="0.25">
      <c r="B961" s="12"/>
    </row>
    <row r="964" spans="1:4" ht="15" customHeight="1" x14ac:dyDescent="0.25">
      <c r="A964" s="23"/>
      <c r="B964" s="12"/>
      <c r="D964" s="2"/>
    </row>
    <row r="965" spans="1:4" ht="15" customHeight="1" x14ac:dyDescent="0.25">
      <c r="A965" s="23"/>
      <c r="B965" s="12"/>
      <c r="D965" s="2"/>
    </row>
    <row r="966" spans="1:4" ht="15" customHeight="1" x14ac:dyDescent="0.3">
      <c r="A966" s="23"/>
      <c r="B966" s="11"/>
      <c r="D966" s="1"/>
    </row>
    <row r="967" spans="1:4" s="2" customFormat="1" ht="15" customHeight="1" x14ac:dyDescent="0.3">
      <c r="A967" s="23"/>
      <c r="B967" s="11"/>
      <c r="C967" s="34"/>
      <c r="D967" s="1"/>
    </row>
    <row r="973" spans="1:4" ht="15" customHeight="1" x14ac:dyDescent="0.3">
      <c r="A973" s="23"/>
      <c r="B973" s="11"/>
      <c r="D973" s="1"/>
    </row>
    <row r="974" spans="1:4" ht="15" customHeight="1" x14ac:dyDescent="0.3">
      <c r="A974" s="23"/>
      <c r="B974" s="11"/>
      <c r="D974" s="1"/>
    </row>
    <row r="975" spans="1:4" ht="15" customHeight="1" x14ac:dyDescent="0.3">
      <c r="A975" s="23"/>
      <c r="B975" s="11"/>
      <c r="D975" s="1"/>
    </row>
    <row r="976" spans="1:4" ht="15" customHeight="1" x14ac:dyDescent="0.25">
      <c r="A976" s="23"/>
      <c r="B976" s="14"/>
      <c r="D976" s="4"/>
    </row>
    <row r="977" spans="1:4" s="2" customFormat="1" ht="15" customHeight="1" x14ac:dyDescent="0.25">
      <c r="A977" s="23"/>
      <c r="B977" s="14"/>
      <c r="C977" s="34"/>
      <c r="D977" s="4"/>
    </row>
    <row r="978" spans="1:4" ht="15" customHeight="1" x14ac:dyDescent="0.25">
      <c r="A978" s="23"/>
      <c r="B978" s="14"/>
      <c r="D978" s="4"/>
    </row>
    <row r="979" spans="1:4" ht="15" customHeight="1" x14ac:dyDescent="0.25">
      <c r="A979" s="23"/>
      <c r="B979" s="14"/>
      <c r="D979" s="4"/>
    </row>
    <row r="980" spans="1:4" ht="15" customHeight="1" x14ac:dyDescent="0.25">
      <c r="A980" s="23"/>
      <c r="B980" s="14"/>
      <c r="D980" s="4"/>
    </row>
    <row r="987" spans="1:4" ht="15" customHeight="1" x14ac:dyDescent="0.25">
      <c r="A987" s="23"/>
      <c r="D987" s="4"/>
    </row>
    <row r="988" spans="1:4" ht="15" customHeight="1" x14ac:dyDescent="0.3">
      <c r="A988" s="23"/>
      <c r="D988" s="1"/>
    </row>
    <row r="989" spans="1:4" ht="15" customHeight="1" x14ac:dyDescent="0.3">
      <c r="A989" s="23"/>
      <c r="D989" s="1"/>
    </row>
    <row r="990" spans="1:4" ht="15" customHeight="1" x14ac:dyDescent="0.3">
      <c r="A990" s="23"/>
      <c r="D990" s="1"/>
    </row>
    <row r="991" spans="1:4" ht="15" customHeight="1" x14ac:dyDescent="0.3">
      <c r="A991" s="23"/>
      <c r="D991" s="1"/>
    </row>
    <row r="992" spans="1:4" ht="15" customHeight="1" x14ac:dyDescent="0.3">
      <c r="A992" s="23"/>
      <c r="D992" s="1"/>
    </row>
    <row r="993" spans="1:4" ht="15" customHeight="1" x14ac:dyDescent="0.3">
      <c r="A993" s="23"/>
      <c r="D993" s="1"/>
    </row>
    <row r="994" spans="1:4" ht="15" customHeight="1" x14ac:dyDescent="0.3">
      <c r="A994" s="23"/>
      <c r="D994" s="1"/>
    </row>
    <row r="995" spans="1:4" s="2" customFormat="1" ht="15" customHeight="1" x14ac:dyDescent="0.3">
      <c r="A995" s="23"/>
      <c r="B995" s="13"/>
      <c r="C995" s="34"/>
      <c r="D995" s="1"/>
    </row>
    <row r="996" spans="1:4" ht="15" customHeight="1" x14ac:dyDescent="0.3">
      <c r="A996" s="23"/>
      <c r="D996" s="1"/>
    </row>
    <row r="997" spans="1:4" ht="15" customHeight="1" x14ac:dyDescent="0.3">
      <c r="A997" s="23"/>
      <c r="D997" s="1"/>
    </row>
    <row r="998" spans="1:4" ht="15" customHeight="1" x14ac:dyDescent="0.3">
      <c r="A998" s="23"/>
      <c r="D998" s="1"/>
    </row>
    <row r="999" spans="1:4" ht="15" customHeight="1" x14ac:dyDescent="0.3">
      <c r="A999" s="23"/>
      <c r="D999" s="1"/>
    </row>
    <row r="1000" spans="1:4" ht="15" customHeight="1" x14ac:dyDescent="0.3">
      <c r="A1000" s="23"/>
      <c r="D1000" s="1"/>
    </row>
    <row r="1001" spans="1:4" ht="15" customHeight="1" x14ac:dyDescent="0.3">
      <c r="A1001" s="23"/>
      <c r="D1001" s="1"/>
    </row>
    <row r="1002" spans="1:4" ht="15" customHeight="1" x14ac:dyDescent="0.3">
      <c r="A1002" s="23"/>
      <c r="D1002" s="1"/>
    </row>
    <row r="1003" spans="1:4" ht="15" customHeight="1" x14ac:dyDescent="0.3">
      <c r="A1003" s="23"/>
      <c r="D1003" s="1"/>
    </row>
    <row r="1004" spans="1:4" ht="15" customHeight="1" x14ac:dyDescent="0.3">
      <c r="A1004" s="23"/>
      <c r="D1004" s="1"/>
    </row>
    <row r="1005" spans="1:4" ht="15" customHeight="1" x14ac:dyDescent="0.3">
      <c r="A1005" s="23"/>
      <c r="D1005" s="1"/>
    </row>
    <row r="1006" spans="1:4" ht="15" customHeight="1" x14ac:dyDescent="0.25">
      <c r="A1006" s="23"/>
      <c r="B1006" s="15"/>
      <c r="D1006" s="2"/>
    </row>
    <row r="1007" spans="1:4" ht="15" customHeight="1" x14ac:dyDescent="0.25">
      <c r="A1007" s="23"/>
      <c r="B1007" s="15"/>
      <c r="D1007" s="2"/>
    </row>
    <row r="1008" spans="1:4" ht="15" customHeight="1" x14ac:dyDescent="0.25">
      <c r="A1008" s="23"/>
      <c r="B1008" s="15"/>
      <c r="D1008" s="2"/>
    </row>
    <row r="1009" spans="1:4" ht="15" customHeight="1" x14ac:dyDescent="0.25">
      <c r="A1009" s="23"/>
      <c r="B1009" s="15"/>
      <c r="D1009" s="2"/>
    </row>
    <row r="1010" spans="1:4" ht="15" customHeight="1" x14ac:dyDescent="0.25">
      <c r="A1010" s="23"/>
      <c r="B1010" s="15"/>
      <c r="D1010" s="2"/>
    </row>
    <row r="1011" spans="1:4" ht="15" customHeight="1" x14ac:dyDescent="0.25">
      <c r="A1011" s="23"/>
      <c r="B1011" s="15"/>
      <c r="D1011" s="2"/>
    </row>
    <row r="1012" spans="1:4" ht="15" customHeight="1" x14ac:dyDescent="0.3">
      <c r="A1012" s="23"/>
      <c r="D1012" s="1"/>
    </row>
    <row r="1014" spans="1:4" ht="15" customHeight="1" x14ac:dyDescent="0.3">
      <c r="A1014" s="23"/>
      <c r="B1014" s="14"/>
      <c r="D1014" s="1"/>
    </row>
    <row r="1015" spans="1:4" ht="15" customHeight="1" x14ac:dyDescent="0.25">
      <c r="A1015" s="23"/>
      <c r="B1015" s="12"/>
      <c r="D1015" s="2"/>
    </row>
    <row r="1016" spans="1:4" ht="15" customHeight="1" x14ac:dyDescent="0.25">
      <c r="A1016" s="23"/>
      <c r="B1016" s="12"/>
      <c r="D1016" s="2"/>
    </row>
    <row r="1017" spans="1:4" ht="15" customHeight="1" x14ac:dyDescent="0.25">
      <c r="A1017" s="23"/>
      <c r="B1017" s="12"/>
      <c r="D1017" s="2"/>
    </row>
    <row r="1018" spans="1:4" ht="15" customHeight="1" x14ac:dyDescent="0.25">
      <c r="A1018" s="23"/>
      <c r="B1018" s="12"/>
      <c r="D1018" s="2"/>
    </row>
    <row r="1019" spans="1:4" ht="15" customHeight="1" x14ac:dyDescent="0.25">
      <c r="A1019" s="23"/>
      <c r="B1019" s="12"/>
      <c r="D1019" s="2"/>
    </row>
    <row r="1020" spans="1:4" ht="15" customHeight="1" x14ac:dyDescent="0.25">
      <c r="A1020" s="23"/>
      <c r="B1020" s="12"/>
      <c r="D1020" s="2"/>
    </row>
    <row r="1021" spans="1:4" ht="15" customHeight="1" x14ac:dyDescent="0.25">
      <c r="A1021" s="23"/>
      <c r="B1021" s="12"/>
      <c r="D1021" s="2"/>
    </row>
    <row r="1022" spans="1:4" ht="15" customHeight="1" x14ac:dyDescent="0.3">
      <c r="A1022" s="23"/>
      <c r="B1022" s="14"/>
      <c r="D1022" s="1"/>
    </row>
    <row r="1023" spans="1:4" ht="15" customHeight="1" x14ac:dyDescent="0.25">
      <c r="A1023" s="23"/>
      <c r="B1023" s="12"/>
      <c r="D1023" s="2"/>
    </row>
    <row r="1024" spans="1:4" ht="15" customHeight="1" x14ac:dyDescent="0.3">
      <c r="A1024" s="23"/>
      <c r="B1024" s="14"/>
      <c r="D1024" s="1"/>
    </row>
    <row r="1025" spans="1:4" ht="15" customHeight="1" x14ac:dyDescent="0.25">
      <c r="A1025" s="23"/>
      <c r="B1025" s="12"/>
      <c r="D1025" s="2"/>
    </row>
    <row r="1026" spans="1:4" ht="15" customHeight="1" x14ac:dyDescent="0.25">
      <c r="A1026" s="23"/>
      <c r="B1026" s="12"/>
      <c r="D1026" s="2"/>
    </row>
    <row r="1027" spans="1:4" ht="15" customHeight="1" x14ac:dyDescent="0.3">
      <c r="A1027" s="23"/>
      <c r="B1027" s="14"/>
      <c r="D1027" s="1"/>
    </row>
    <row r="1028" spans="1:4" ht="15" customHeight="1" x14ac:dyDescent="0.3">
      <c r="A1028" s="23"/>
      <c r="B1028" s="14"/>
      <c r="D1028" s="1"/>
    </row>
    <row r="1029" spans="1:4" ht="15" customHeight="1" x14ac:dyDescent="0.3">
      <c r="A1029" s="23"/>
      <c r="D1029" s="1"/>
    </row>
    <row r="1030" spans="1:4" ht="15" customHeight="1" x14ac:dyDescent="0.25">
      <c r="A1030" s="23"/>
      <c r="B1030" s="15"/>
      <c r="D1030" s="2"/>
    </row>
    <row r="1031" spans="1:4" ht="15" customHeight="1" x14ac:dyDescent="0.25">
      <c r="A1031" s="23"/>
      <c r="B1031" s="15"/>
      <c r="D1031" s="2"/>
    </row>
    <row r="1032" spans="1:4" ht="15" customHeight="1" x14ac:dyDescent="0.3">
      <c r="A1032" s="23"/>
      <c r="D1032" s="1"/>
    </row>
    <row r="1033" spans="1:4" ht="15" customHeight="1" x14ac:dyDescent="0.3">
      <c r="A1033" s="23"/>
      <c r="D1033" s="1"/>
    </row>
    <row r="1034" spans="1:4" ht="15" customHeight="1" x14ac:dyDescent="0.3">
      <c r="A1034" s="23"/>
      <c r="D1034" s="1"/>
    </row>
    <row r="1035" spans="1:4" ht="15" customHeight="1" x14ac:dyDescent="0.3">
      <c r="A1035" s="23"/>
      <c r="D1035" s="1"/>
    </row>
    <row r="1036" spans="1:4" ht="15" customHeight="1" x14ac:dyDescent="0.3">
      <c r="A1036" s="23"/>
      <c r="D1036" s="1"/>
    </row>
    <row r="1037" spans="1:4" ht="15" customHeight="1" x14ac:dyDescent="0.25">
      <c r="A1037" s="23"/>
      <c r="B1037" s="15"/>
      <c r="D1037" s="2"/>
    </row>
    <row r="1038" spans="1:4" ht="15" customHeight="1" x14ac:dyDescent="0.3">
      <c r="A1038" s="23"/>
      <c r="D1038" s="1"/>
    </row>
    <row r="1039" spans="1:4" ht="15" customHeight="1" x14ac:dyDescent="0.25">
      <c r="A1039" s="23"/>
      <c r="B1039" s="15"/>
      <c r="D1039" s="2"/>
    </row>
    <row r="1040" spans="1:4" ht="15" customHeight="1" x14ac:dyDescent="0.3">
      <c r="A1040" s="23"/>
      <c r="D1040" s="1"/>
    </row>
    <row r="1041" spans="1:4" ht="15" customHeight="1" x14ac:dyDescent="0.25">
      <c r="A1041" s="23"/>
      <c r="B1041" s="15"/>
      <c r="D1041" s="2"/>
    </row>
    <row r="1042" spans="1:4" ht="15" customHeight="1" x14ac:dyDescent="0.3">
      <c r="A1042" s="23"/>
      <c r="D1042" s="1"/>
    </row>
    <row r="1043" spans="1:4" ht="15" customHeight="1" x14ac:dyDescent="0.3">
      <c r="A1043" s="23"/>
      <c r="D1043" s="1"/>
    </row>
    <row r="1044" spans="1:4" ht="15" customHeight="1" x14ac:dyDescent="0.3">
      <c r="A1044" s="23"/>
      <c r="D1044" s="1"/>
    </row>
    <row r="1045" spans="1:4" ht="15" customHeight="1" x14ac:dyDescent="0.3">
      <c r="A1045" s="23"/>
      <c r="D1045" s="1"/>
    </row>
    <row r="1046" spans="1:4" ht="15" customHeight="1" x14ac:dyDescent="0.3">
      <c r="A1046" s="23"/>
      <c r="D1046" s="1"/>
    </row>
    <row r="1047" spans="1:4" ht="15" customHeight="1" x14ac:dyDescent="0.25">
      <c r="A1047" s="23"/>
      <c r="B1047" s="15"/>
      <c r="D1047" s="2"/>
    </row>
    <row r="1048" spans="1:4" ht="15" customHeight="1" x14ac:dyDescent="0.3">
      <c r="A1048" s="23"/>
      <c r="D1048" s="1"/>
    </row>
    <row r="1049" spans="1:4" ht="15" customHeight="1" x14ac:dyDescent="0.3">
      <c r="A1049" s="23"/>
      <c r="D1049" s="1"/>
    </row>
    <row r="1050" spans="1:4" ht="15" customHeight="1" x14ac:dyDescent="0.3">
      <c r="A1050" s="23"/>
      <c r="D1050" s="1"/>
    </row>
    <row r="1051" spans="1:4" ht="15" customHeight="1" x14ac:dyDescent="0.3">
      <c r="A1051" s="23"/>
      <c r="D1051" s="1"/>
    </row>
    <row r="1052" spans="1:4" ht="15" customHeight="1" x14ac:dyDescent="0.3">
      <c r="A1052" s="23"/>
      <c r="D1052" s="1"/>
    </row>
    <row r="1053" spans="1:4" ht="15" customHeight="1" x14ac:dyDescent="0.3">
      <c r="A1053" s="23"/>
      <c r="D1053" s="1"/>
    </row>
    <row r="1054" spans="1:4" ht="15" customHeight="1" x14ac:dyDescent="0.3">
      <c r="A1054" s="23"/>
      <c r="D1054" s="1"/>
    </row>
    <row r="1055" spans="1:4" ht="15" customHeight="1" x14ac:dyDescent="0.3">
      <c r="A1055" s="23"/>
      <c r="D1055" s="1"/>
    </row>
    <row r="1056" spans="1:4" ht="15" customHeight="1" x14ac:dyDescent="0.3">
      <c r="A1056" s="23"/>
      <c r="D1056" s="1"/>
    </row>
    <row r="1057" spans="1:4" ht="15" customHeight="1" x14ac:dyDescent="0.3">
      <c r="A1057" s="23"/>
      <c r="D1057" s="1"/>
    </row>
    <row r="1058" spans="1:4" ht="15" customHeight="1" x14ac:dyDescent="0.3">
      <c r="A1058" s="23"/>
      <c r="D1058" s="1"/>
    </row>
    <row r="1059" spans="1:4" ht="15" customHeight="1" x14ac:dyDescent="0.3">
      <c r="A1059" s="23"/>
      <c r="D1059" s="1"/>
    </row>
    <row r="1060" spans="1:4" ht="15" customHeight="1" x14ac:dyDescent="0.3">
      <c r="A1060" s="23"/>
      <c r="D1060" s="1"/>
    </row>
    <row r="1061" spans="1:4" ht="15" customHeight="1" x14ac:dyDescent="0.3">
      <c r="A1061" s="23"/>
      <c r="D1061" s="1"/>
    </row>
    <row r="1062" spans="1:4" ht="15" customHeight="1" x14ac:dyDescent="0.3">
      <c r="A1062" s="23"/>
      <c r="D1062" s="1"/>
    </row>
    <row r="1063" spans="1:4" ht="15" customHeight="1" x14ac:dyDescent="0.3">
      <c r="B1063" s="11"/>
    </row>
    <row r="1064" spans="1:4" ht="15" customHeight="1" x14ac:dyDescent="0.3">
      <c r="A1064" s="23"/>
      <c r="D1064" s="1"/>
    </row>
    <row r="1065" spans="1:4" ht="15" customHeight="1" x14ac:dyDescent="0.3">
      <c r="A1065" s="23"/>
      <c r="D1065" s="1"/>
    </row>
    <row r="1066" spans="1:4" ht="15" customHeight="1" x14ac:dyDescent="0.3">
      <c r="A1066" s="23"/>
      <c r="D1066" s="1"/>
    </row>
    <row r="1067" spans="1:4" ht="15" customHeight="1" x14ac:dyDescent="0.3">
      <c r="A1067" s="23"/>
      <c r="D1067" s="1"/>
    </row>
    <row r="1068" spans="1:4" ht="15" customHeight="1" x14ac:dyDescent="0.3">
      <c r="A1068" s="23"/>
      <c r="D1068" s="1"/>
    </row>
    <row r="1069" spans="1:4" ht="15" customHeight="1" x14ac:dyDescent="0.3">
      <c r="A1069" s="23"/>
      <c r="D1069" s="1"/>
    </row>
    <row r="1070" spans="1:4" ht="15" customHeight="1" x14ac:dyDescent="0.3">
      <c r="A1070" s="23"/>
      <c r="D1070" s="1"/>
    </row>
    <row r="1071" spans="1:4" ht="15" customHeight="1" x14ac:dyDescent="0.3">
      <c r="A1071" s="23"/>
      <c r="D1071" s="1"/>
    </row>
    <row r="1072" spans="1:4" ht="15" customHeight="1" x14ac:dyDescent="0.3">
      <c r="A1072" s="23"/>
      <c r="D1072" s="1"/>
    </row>
    <row r="1073" spans="1:4" ht="15" customHeight="1" x14ac:dyDescent="0.3">
      <c r="A1073" s="23"/>
      <c r="D1073" s="1"/>
    </row>
    <row r="1074" spans="1:4" ht="15" customHeight="1" x14ac:dyDescent="0.3">
      <c r="A1074" s="23"/>
      <c r="D1074" s="1"/>
    </row>
    <row r="1075" spans="1:4" ht="15" customHeight="1" x14ac:dyDescent="0.3">
      <c r="A1075" s="23"/>
      <c r="D1075" s="1"/>
    </row>
    <row r="1076" spans="1:4" ht="15" customHeight="1" x14ac:dyDescent="0.3">
      <c r="A1076" s="23"/>
      <c r="D1076" s="1"/>
    </row>
    <row r="1077" spans="1:4" ht="15" customHeight="1" x14ac:dyDescent="0.3">
      <c r="A1077" s="23"/>
      <c r="D1077" s="1"/>
    </row>
    <row r="1078" spans="1:4" ht="15" customHeight="1" x14ac:dyDescent="0.3">
      <c r="A1078" s="23"/>
      <c r="D1078" s="1"/>
    </row>
    <row r="1079" spans="1:4" ht="15" customHeight="1" x14ac:dyDescent="0.3">
      <c r="A1079" s="23"/>
      <c r="D1079" s="1"/>
    </row>
    <row r="1080" spans="1:4" ht="15" customHeight="1" x14ac:dyDescent="0.3">
      <c r="A1080" s="23"/>
      <c r="D1080" s="1"/>
    </row>
    <row r="1081" spans="1:4" ht="15" customHeight="1" x14ac:dyDescent="0.3">
      <c r="A1081" s="23"/>
      <c r="D1081" s="1"/>
    </row>
    <row r="1082" spans="1:4" ht="15" customHeight="1" x14ac:dyDescent="0.3">
      <c r="A1082" s="23"/>
      <c r="D1082" s="1"/>
    </row>
    <row r="1083" spans="1:4" ht="15" customHeight="1" x14ac:dyDescent="0.3">
      <c r="A1083" s="23"/>
      <c r="D1083" s="1"/>
    </row>
    <row r="1084" spans="1:4" ht="15" customHeight="1" x14ac:dyDescent="0.3">
      <c r="A1084" s="23"/>
      <c r="D1084" s="1"/>
    </row>
    <row r="1085" spans="1:4" ht="15" customHeight="1" x14ac:dyDescent="0.3">
      <c r="A1085" s="23"/>
      <c r="D1085" s="1"/>
    </row>
    <row r="1087" spans="1:4" ht="15" customHeight="1" x14ac:dyDescent="0.3">
      <c r="B1087" s="11"/>
    </row>
    <row r="1088" spans="1:4" ht="15" customHeight="1" x14ac:dyDescent="0.3">
      <c r="B1088" s="11"/>
    </row>
    <row r="1089" spans="2:2" ht="15" customHeight="1" x14ac:dyDescent="0.3">
      <c r="B1089" s="11"/>
    </row>
    <row r="1090" spans="2:2" ht="15" customHeight="1" x14ac:dyDescent="0.3">
      <c r="B1090" s="11"/>
    </row>
    <row r="1091" spans="2:2" ht="15" customHeight="1" x14ac:dyDescent="0.3">
      <c r="B1091" s="11"/>
    </row>
  </sheetData>
  <sortState ref="A722:B727">
    <sortCondition ref="A721"/>
  </sortState>
  <conditionalFormatting sqref="A768">
    <cfRule type="duplicateValues" dxfId="281" priority="297"/>
  </conditionalFormatting>
  <conditionalFormatting sqref="A768">
    <cfRule type="duplicateValues" dxfId="280" priority="298"/>
  </conditionalFormatting>
  <conditionalFormatting sqref="A768">
    <cfRule type="duplicateValues" dxfId="279" priority="299"/>
  </conditionalFormatting>
  <conditionalFormatting sqref="A768">
    <cfRule type="duplicateValues" dxfId="278" priority="300"/>
  </conditionalFormatting>
  <conditionalFormatting sqref="A769">
    <cfRule type="duplicateValues" dxfId="277" priority="294"/>
  </conditionalFormatting>
  <conditionalFormatting sqref="A769">
    <cfRule type="duplicateValues" dxfId="276" priority="295"/>
  </conditionalFormatting>
  <conditionalFormatting sqref="A769">
    <cfRule type="duplicateValues" dxfId="275" priority="296"/>
  </conditionalFormatting>
  <conditionalFormatting sqref="A770">
    <cfRule type="duplicateValues" dxfId="274" priority="288"/>
  </conditionalFormatting>
  <conditionalFormatting sqref="A770">
    <cfRule type="duplicateValues" dxfId="273" priority="289"/>
  </conditionalFormatting>
  <conditionalFormatting sqref="A770">
    <cfRule type="duplicateValues" dxfId="272" priority="290"/>
  </conditionalFormatting>
  <conditionalFormatting sqref="A773">
    <cfRule type="duplicateValues" dxfId="271" priority="285"/>
  </conditionalFormatting>
  <conditionalFormatting sqref="A773">
    <cfRule type="duplicateValues" dxfId="270" priority="286"/>
  </conditionalFormatting>
  <conditionalFormatting sqref="A773">
    <cfRule type="duplicateValues" dxfId="269" priority="287"/>
  </conditionalFormatting>
  <conditionalFormatting sqref="A778">
    <cfRule type="duplicateValues" dxfId="268" priority="283"/>
  </conditionalFormatting>
  <conditionalFormatting sqref="A778">
    <cfRule type="duplicateValues" dxfId="267" priority="284"/>
  </conditionalFormatting>
  <conditionalFormatting sqref="A779">
    <cfRule type="duplicateValues" dxfId="266" priority="281"/>
  </conditionalFormatting>
  <conditionalFormatting sqref="A779">
    <cfRule type="duplicateValues" dxfId="265" priority="282"/>
  </conditionalFormatting>
  <conditionalFormatting sqref="A781">
    <cfRule type="duplicateValues" dxfId="264" priority="280"/>
  </conditionalFormatting>
  <conditionalFormatting sqref="A783">
    <cfRule type="duplicateValues" dxfId="263" priority="278"/>
  </conditionalFormatting>
  <conditionalFormatting sqref="A783">
    <cfRule type="duplicateValues" dxfId="262" priority="279"/>
  </conditionalFormatting>
  <conditionalFormatting sqref="A785">
    <cfRule type="duplicateValues" dxfId="261" priority="276"/>
  </conditionalFormatting>
  <conditionalFormatting sqref="A785">
    <cfRule type="duplicateValues" dxfId="260" priority="277"/>
  </conditionalFormatting>
  <conditionalFormatting sqref="A787">
    <cfRule type="duplicateValues" dxfId="259" priority="274"/>
  </conditionalFormatting>
  <conditionalFormatting sqref="A787">
    <cfRule type="duplicateValues" dxfId="258" priority="275"/>
  </conditionalFormatting>
  <conditionalFormatting sqref="A788">
    <cfRule type="duplicateValues" dxfId="257" priority="271"/>
  </conditionalFormatting>
  <conditionalFormatting sqref="A788">
    <cfRule type="duplicateValues" dxfId="256" priority="272"/>
  </conditionalFormatting>
  <conditionalFormatting sqref="A788">
    <cfRule type="duplicateValues" dxfId="255" priority="273"/>
  </conditionalFormatting>
  <conditionalFormatting sqref="A886">
    <cfRule type="duplicateValues" dxfId="254" priority="268"/>
  </conditionalFormatting>
  <conditionalFormatting sqref="A886">
    <cfRule type="duplicateValues" dxfId="253" priority="269"/>
  </conditionalFormatting>
  <conditionalFormatting sqref="A886">
    <cfRule type="duplicateValues" dxfId="252" priority="270"/>
  </conditionalFormatting>
  <conditionalFormatting sqref="A927">
    <cfRule type="duplicateValues" dxfId="251" priority="265"/>
  </conditionalFormatting>
  <conditionalFormatting sqref="A927">
    <cfRule type="duplicateValues" dxfId="250" priority="266"/>
  </conditionalFormatting>
  <conditionalFormatting sqref="A927">
    <cfRule type="duplicateValues" dxfId="249" priority="267"/>
  </conditionalFormatting>
  <conditionalFormatting sqref="A790">
    <cfRule type="duplicateValues" dxfId="248" priority="263"/>
  </conditionalFormatting>
  <conditionalFormatting sqref="A790">
    <cfRule type="duplicateValues" dxfId="247" priority="264"/>
  </conditionalFormatting>
  <conditionalFormatting sqref="A789">
    <cfRule type="duplicateValues" dxfId="246" priority="260"/>
  </conditionalFormatting>
  <conditionalFormatting sqref="A789">
    <cfRule type="duplicateValues" dxfId="245" priority="261"/>
  </conditionalFormatting>
  <conditionalFormatting sqref="A789">
    <cfRule type="duplicateValues" dxfId="244" priority="262"/>
  </conditionalFormatting>
  <conditionalFormatting sqref="A793:A794">
    <cfRule type="duplicateValues" dxfId="243" priority="258"/>
  </conditionalFormatting>
  <conditionalFormatting sqref="A793:A794">
    <cfRule type="duplicateValues" dxfId="242" priority="259"/>
  </conditionalFormatting>
  <conditionalFormatting sqref="A796">
    <cfRule type="duplicateValues" dxfId="241" priority="257"/>
  </conditionalFormatting>
  <conditionalFormatting sqref="A802">
    <cfRule type="duplicateValues" dxfId="240" priority="254"/>
  </conditionalFormatting>
  <conditionalFormatting sqref="A802">
    <cfRule type="duplicateValues" dxfId="239" priority="255"/>
  </conditionalFormatting>
  <conditionalFormatting sqref="A802">
    <cfRule type="duplicateValues" dxfId="238" priority="256"/>
  </conditionalFormatting>
  <conditionalFormatting sqref="A804">
    <cfRule type="duplicateValues" dxfId="237" priority="251"/>
  </conditionalFormatting>
  <conditionalFormatting sqref="A804">
    <cfRule type="duplicateValues" dxfId="236" priority="252"/>
  </conditionalFormatting>
  <conditionalFormatting sqref="A804">
    <cfRule type="duplicateValues" dxfId="235" priority="253"/>
  </conditionalFormatting>
  <conditionalFormatting sqref="A806">
    <cfRule type="duplicateValues" dxfId="234" priority="250"/>
  </conditionalFormatting>
  <conditionalFormatting sqref="A812">
    <cfRule type="duplicateValues" dxfId="233" priority="247"/>
  </conditionalFormatting>
  <conditionalFormatting sqref="A812">
    <cfRule type="duplicateValues" dxfId="232" priority="248"/>
  </conditionalFormatting>
  <conditionalFormatting sqref="A812">
    <cfRule type="duplicateValues" dxfId="231" priority="249"/>
  </conditionalFormatting>
  <conditionalFormatting sqref="A813">
    <cfRule type="duplicateValues" dxfId="230" priority="245"/>
  </conditionalFormatting>
  <conditionalFormatting sqref="A813">
    <cfRule type="duplicateValues" dxfId="229" priority="246"/>
  </conditionalFormatting>
  <conditionalFormatting sqref="A816">
    <cfRule type="duplicateValues" dxfId="228" priority="243"/>
  </conditionalFormatting>
  <conditionalFormatting sqref="A816">
    <cfRule type="duplicateValues" dxfId="227" priority="244"/>
  </conditionalFormatting>
  <conditionalFormatting sqref="A818">
    <cfRule type="duplicateValues" dxfId="226" priority="241"/>
  </conditionalFormatting>
  <conditionalFormatting sqref="A818">
    <cfRule type="duplicateValues" dxfId="225" priority="242"/>
  </conditionalFormatting>
  <conditionalFormatting sqref="A825">
    <cfRule type="duplicateValues" dxfId="224" priority="239"/>
  </conditionalFormatting>
  <conditionalFormatting sqref="A825">
    <cfRule type="duplicateValues" dxfId="223" priority="240"/>
  </conditionalFormatting>
  <conditionalFormatting sqref="A826">
    <cfRule type="duplicateValues" dxfId="222" priority="238"/>
  </conditionalFormatting>
  <conditionalFormatting sqref="A832">
    <cfRule type="duplicateValues" dxfId="221" priority="235"/>
  </conditionalFormatting>
  <conditionalFormatting sqref="A832">
    <cfRule type="duplicateValues" dxfId="220" priority="236"/>
  </conditionalFormatting>
  <conditionalFormatting sqref="A832">
    <cfRule type="duplicateValues" dxfId="219" priority="237"/>
  </conditionalFormatting>
  <conditionalFormatting sqref="A55">
    <cfRule type="duplicateValues" dxfId="218" priority="233"/>
  </conditionalFormatting>
  <conditionalFormatting sqref="A55">
    <cfRule type="duplicateValues" dxfId="217" priority="234"/>
  </conditionalFormatting>
  <conditionalFormatting sqref="A281">
    <cfRule type="duplicateValues" dxfId="216" priority="231"/>
  </conditionalFormatting>
  <conditionalFormatting sqref="A281">
    <cfRule type="duplicateValues" dxfId="215" priority="232"/>
  </conditionalFormatting>
  <conditionalFormatting sqref="A559">
    <cfRule type="duplicateValues" dxfId="214" priority="229"/>
  </conditionalFormatting>
  <conditionalFormatting sqref="A559">
    <cfRule type="duplicateValues" dxfId="213" priority="230"/>
  </conditionalFormatting>
  <conditionalFormatting sqref="A574">
    <cfRule type="duplicateValues" dxfId="212" priority="227"/>
  </conditionalFormatting>
  <conditionalFormatting sqref="A574">
    <cfRule type="duplicateValues" dxfId="211" priority="228"/>
  </conditionalFormatting>
  <conditionalFormatting sqref="A160">
    <cfRule type="duplicateValues" dxfId="210" priority="225"/>
  </conditionalFormatting>
  <conditionalFormatting sqref="A160">
    <cfRule type="duplicateValues" dxfId="209" priority="226"/>
  </conditionalFormatting>
  <conditionalFormatting sqref="A324">
    <cfRule type="duplicateValues" dxfId="208" priority="223"/>
  </conditionalFormatting>
  <conditionalFormatting sqref="A324">
    <cfRule type="duplicateValues" dxfId="207" priority="224"/>
  </conditionalFormatting>
  <conditionalFormatting sqref="A741">
    <cfRule type="duplicateValues" dxfId="206" priority="221"/>
  </conditionalFormatting>
  <conditionalFormatting sqref="A741">
    <cfRule type="duplicateValues" dxfId="205" priority="222"/>
  </conditionalFormatting>
  <conditionalFormatting sqref="A760">
    <cfRule type="duplicateValues" dxfId="204" priority="219"/>
  </conditionalFormatting>
  <conditionalFormatting sqref="A760">
    <cfRule type="duplicateValues" dxfId="203" priority="220"/>
  </conditionalFormatting>
  <conditionalFormatting sqref="A62">
    <cfRule type="duplicateValues" dxfId="202" priority="216"/>
  </conditionalFormatting>
  <conditionalFormatting sqref="A62">
    <cfRule type="duplicateValues" dxfId="201" priority="217"/>
  </conditionalFormatting>
  <conditionalFormatting sqref="A62">
    <cfRule type="duplicateValues" dxfId="200" priority="218"/>
  </conditionalFormatting>
  <conditionalFormatting sqref="A251">
    <cfRule type="duplicateValues" dxfId="199" priority="213"/>
  </conditionalFormatting>
  <conditionalFormatting sqref="A251">
    <cfRule type="duplicateValues" dxfId="198" priority="214"/>
  </conditionalFormatting>
  <conditionalFormatting sqref="A251">
    <cfRule type="duplicateValues" dxfId="197" priority="215"/>
  </conditionalFormatting>
  <conditionalFormatting sqref="A266">
    <cfRule type="duplicateValues" dxfId="196" priority="210"/>
  </conditionalFormatting>
  <conditionalFormatting sqref="A266">
    <cfRule type="duplicateValues" dxfId="195" priority="211"/>
  </conditionalFormatting>
  <conditionalFormatting sqref="A266">
    <cfRule type="duplicateValues" dxfId="194" priority="212"/>
  </conditionalFormatting>
  <conditionalFormatting sqref="A677">
    <cfRule type="duplicateValues" dxfId="193" priority="207"/>
  </conditionalFormatting>
  <conditionalFormatting sqref="A677">
    <cfRule type="duplicateValues" dxfId="192" priority="208"/>
  </conditionalFormatting>
  <conditionalFormatting sqref="A677">
    <cfRule type="duplicateValues" dxfId="191" priority="209"/>
  </conditionalFormatting>
  <conditionalFormatting sqref="A63">
    <cfRule type="duplicateValues" dxfId="190" priority="206"/>
  </conditionalFormatting>
  <conditionalFormatting sqref="A78">
    <cfRule type="duplicateValues" dxfId="189" priority="204"/>
  </conditionalFormatting>
  <conditionalFormatting sqref="A78">
    <cfRule type="duplicateValues" dxfId="188" priority="205"/>
  </conditionalFormatting>
  <conditionalFormatting sqref="A79">
    <cfRule type="duplicateValues" dxfId="187" priority="203"/>
  </conditionalFormatting>
  <conditionalFormatting sqref="A259">
    <cfRule type="duplicateValues" dxfId="186" priority="202"/>
  </conditionalFormatting>
  <conditionalFormatting sqref="A274">
    <cfRule type="duplicateValues" dxfId="185" priority="201"/>
  </conditionalFormatting>
  <conditionalFormatting sqref="A678">
    <cfRule type="duplicateValues" dxfId="184" priority="200"/>
  </conditionalFormatting>
  <conditionalFormatting sqref="A95">
    <cfRule type="duplicateValues" dxfId="183" priority="188"/>
  </conditionalFormatting>
  <conditionalFormatting sqref="A95">
    <cfRule type="duplicateValues" dxfId="182" priority="189"/>
  </conditionalFormatting>
  <conditionalFormatting sqref="A95">
    <cfRule type="duplicateValues" dxfId="181" priority="190"/>
  </conditionalFormatting>
  <conditionalFormatting sqref="A95">
    <cfRule type="duplicateValues" dxfId="180" priority="191"/>
  </conditionalFormatting>
  <conditionalFormatting sqref="A96">
    <cfRule type="duplicateValues" dxfId="179" priority="185"/>
  </conditionalFormatting>
  <conditionalFormatting sqref="A96">
    <cfRule type="duplicateValues" dxfId="178" priority="186"/>
  </conditionalFormatting>
  <conditionalFormatting sqref="A96">
    <cfRule type="duplicateValues" dxfId="177" priority="187"/>
  </conditionalFormatting>
  <conditionalFormatting sqref="A112">
    <cfRule type="duplicateValues" dxfId="176" priority="181"/>
  </conditionalFormatting>
  <conditionalFormatting sqref="A112">
    <cfRule type="duplicateValues" dxfId="175" priority="182"/>
  </conditionalFormatting>
  <conditionalFormatting sqref="A112">
    <cfRule type="duplicateValues" dxfId="174" priority="183"/>
  </conditionalFormatting>
  <conditionalFormatting sqref="A112">
    <cfRule type="duplicateValues" dxfId="173" priority="184"/>
  </conditionalFormatting>
  <conditionalFormatting sqref="A113">
    <cfRule type="duplicateValues" dxfId="172" priority="178"/>
  </conditionalFormatting>
  <conditionalFormatting sqref="A113">
    <cfRule type="duplicateValues" dxfId="171" priority="179"/>
  </conditionalFormatting>
  <conditionalFormatting sqref="A113">
    <cfRule type="duplicateValues" dxfId="170" priority="180"/>
  </conditionalFormatting>
  <conditionalFormatting sqref="A454">
    <cfRule type="duplicateValues" dxfId="169" priority="174"/>
  </conditionalFormatting>
  <conditionalFormatting sqref="A454">
    <cfRule type="duplicateValues" dxfId="168" priority="175"/>
  </conditionalFormatting>
  <conditionalFormatting sqref="A454">
    <cfRule type="duplicateValues" dxfId="167" priority="176"/>
  </conditionalFormatting>
  <conditionalFormatting sqref="A454">
    <cfRule type="duplicateValues" dxfId="166" priority="177"/>
  </conditionalFormatting>
  <conditionalFormatting sqref="A455">
    <cfRule type="duplicateValues" dxfId="165" priority="171"/>
  </conditionalFormatting>
  <conditionalFormatting sqref="A455">
    <cfRule type="duplicateValues" dxfId="164" priority="172"/>
  </conditionalFormatting>
  <conditionalFormatting sqref="A455">
    <cfRule type="duplicateValues" dxfId="163" priority="173"/>
  </conditionalFormatting>
  <conditionalFormatting sqref="A473">
    <cfRule type="duplicateValues" dxfId="162" priority="167"/>
  </conditionalFormatting>
  <conditionalFormatting sqref="A473">
    <cfRule type="duplicateValues" dxfId="161" priority="168"/>
  </conditionalFormatting>
  <conditionalFormatting sqref="A473">
    <cfRule type="duplicateValues" dxfId="160" priority="169"/>
  </conditionalFormatting>
  <conditionalFormatting sqref="A473">
    <cfRule type="duplicateValues" dxfId="159" priority="170"/>
  </conditionalFormatting>
  <conditionalFormatting sqref="A474">
    <cfRule type="duplicateValues" dxfId="158" priority="164"/>
  </conditionalFormatting>
  <conditionalFormatting sqref="A474">
    <cfRule type="duplicateValues" dxfId="157" priority="165"/>
  </conditionalFormatting>
  <conditionalFormatting sqref="A474">
    <cfRule type="duplicateValues" dxfId="156" priority="166"/>
  </conditionalFormatting>
  <conditionalFormatting sqref="A553">
    <cfRule type="duplicateValues" dxfId="155" priority="160"/>
  </conditionalFormatting>
  <conditionalFormatting sqref="A553">
    <cfRule type="duplicateValues" dxfId="154" priority="161"/>
  </conditionalFormatting>
  <conditionalFormatting sqref="A553">
    <cfRule type="duplicateValues" dxfId="153" priority="162"/>
  </conditionalFormatting>
  <conditionalFormatting sqref="A553">
    <cfRule type="duplicateValues" dxfId="152" priority="163"/>
  </conditionalFormatting>
  <conditionalFormatting sqref="A554">
    <cfRule type="duplicateValues" dxfId="151" priority="157"/>
  </conditionalFormatting>
  <conditionalFormatting sqref="A554">
    <cfRule type="duplicateValues" dxfId="150" priority="158"/>
  </conditionalFormatting>
  <conditionalFormatting sqref="A554">
    <cfRule type="duplicateValues" dxfId="149" priority="159"/>
  </conditionalFormatting>
  <conditionalFormatting sqref="A570">
    <cfRule type="duplicateValues" dxfId="148" priority="153"/>
  </conditionalFormatting>
  <conditionalFormatting sqref="A570">
    <cfRule type="duplicateValues" dxfId="147" priority="154"/>
  </conditionalFormatting>
  <conditionalFormatting sqref="A570">
    <cfRule type="duplicateValues" dxfId="146" priority="155"/>
  </conditionalFormatting>
  <conditionalFormatting sqref="A570">
    <cfRule type="duplicateValues" dxfId="145" priority="156"/>
  </conditionalFormatting>
  <conditionalFormatting sqref="A571">
    <cfRule type="duplicateValues" dxfId="144" priority="150"/>
  </conditionalFormatting>
  <conditionalFormatting sqref="A571">
    <cfRule type="duplicateValues" dxfId="143" priority="151"/>
  </conditionalFormatting>
  <conditionalFormatting sqref="A571">
    <cfRule type="duplicateValues" dxfId="142" priority="152"/>
  </conditionalFormatting>
  <conditionalFormatting sqref="A632">
    <cfRule type="duplicateValues" dxfId="141" priority="146"/>
  </conditionalFormatting>
  <conditionalFormatting sqref="A632">
    <cfRule type="duplicateValues" dxfId="140" priority="147"/>
  </conditionalFormatting>
  <conditionalFormatting sqref="A632">
    <cfRule type="duplicateValues" dxfId="139" priority="148"/>
  </conditionalFormatting>
  <conditionalFormatting sqref="A632">
    <cfRule type="duplicateValues" dxfId="138" priority="149"/>
  </conditionalFormatting>
  <conditionalFormatting sqref="A633">
    <cfRule type="duplicateValues" dxfId="137" priority="143"/>
  </conditionalFormatting>
  <conditionalFormatting sqref="A633">
    <cfRule type="duplicateValues" dxfId="136" priority="144"/>
  </conditionalFormatting>
  <conditionalFormatting sqref="A633">
    <cfRule type="duplicateValues" dxfId="135" priority="145"/>
  </conditionalFormatting>
  <conditionalFormatting sqref="A123">
    <cfRule type="duplicateValues" dxfId="134" priority="140"/>
  </conditionalFormatting>
  <conditionalFormatting sqref="A123">
    <cfRule type="duplicateValues" dxfId="133" priority="141"/>
  </conditionalFormatting>
  <conditionalFormatting sqref="A123">
    <cfRule type="duplicateValues" dxfId="132" priority="142"/>
  </conditionalFormatting>
  <conditionalFormatting sqref="A634">
    <cfRule type="duplicateValues" dxfId="131" priority="137"/>
  </conditionalFormatting>
  <conditionalFormatting sqref="A634">
    <cfRule type="duplicateValues" dxfId="130" priority="138"/>
  </conditionalFormatting>
  <conditionalFormatting sqref="A634">
    <cfRule type="duplicateValues" dxfId="129" priority="139"/>
  </conditionalFormatting>
  <conditionalFormatting sqref="A148">
    <cfRule type="duplicateValues" dxfId="128" priority="134"/>
  </conditionalFormatting>
  <conditionalFormatting sqref="A148">
    <cfRule type="duplicateValues" dxfId="127" priority="135"/>
  </conditionalFormatting>
  <conditionalFormatting sqref="A148">
    <cfRule type="duplicateValues" dxfId="126" priority="136"/>
  </conditionalFormatting>
  <conditionalFormatting sqref="A149">
    <cfRule type="duplicateValues" dxfId="125" priority="131"/>
  </conditionalFormatting>
  <conditionalFormatting sqref="A149">
    <cfRule type="duplicateValues" dxfId="124" priority="132"/>
  </conditionalFormatting>
  <conditionalFormatting sqref="A149">
    <cfRule type="duplicateValues" dxfId="123" priority="133"/>
  </conditionalFormatting>
  <conditionalFormatting sqref="A169">
    <cfRule type="duplicateValues" dxfId="122" priority="129"/>
  </conditionalFormatting>
  <conditionalFormatting sqref="A169">
    <cfRule type="duplicateValues" dxfId="121" priority="130"/>
  </conditionalFormatting>
  <conditionalFormatting sqref="A195">
    <cfRule type="duplicateValues" dxfId="120" priority="127"/>
  </conditionalFormatting>
  <conditionalFormatting sqref="A195">
    <cfRule type="duplicateValues" dxfId="119" priority="128"/>
  </conditionalFormatting>
  <conditionalFormatting sqref="A456">
    <cfRule type="duplicateValues" dxfId="118" priority="125"/>
  </conditionalFormatting>
  <conditionalFormatting sqref="A456">
    <cfRule type="duplicateValues" dxfId="117" priority="126"/>
  </conditionalFormatting>
  <conditionalFormatting sqref="A702">
    <cfRule type="duplicateValues" dxfId="116" priority="123"/>
  </conditionalFormatting>
  <conditionalFormatting sqref="A702">
    <cfRule type="duplicateValues" dxfId="115" priority="124"/>
  </conditionalFormatting>
  <conditionalFormatting sqref="A196">
    <cfRule type="duplicateValues" dxfId="114" priority="121"/>
  </conditionalFormatting>
  <conditionalFormatting sqref="A196">
    <cfRule type="duplicateValues" dxfId="113" priority="122"/>
  </conditionalFormatting>
  <conditionalFormatting sqref="A457">
    <cfRule type="duplicateValues" dxfId="112" priority="119"/>
  </conditionalFormatting>
  <conditionalFormatting sqref="A457">
    <cfRule type="duplicateValues" dxfId="111" priority="120"/>
  </conditionalFormatting>
  <conditionalFormatting sqref="A475">
    <cfRule type="duplicateValues" dxfId="110" priority="117"/>
  </conditionalFormatting>
  <conditionalFormatting sqref="A475">
    <cfRule type="duplicateValues" dxfId="109" priority="118"/>
  </conditionalFormatting>
  <conditionalFormatting sqref="A509">
    <cfRule type="duplicateValues" dxfId="108" priority="115"/>
  </conditionalFormatting>
  <conditionalFormatting sqref="A509">
    <cfRule type="duplicateValues" dxfId="107" priority="116"/>
  </conditionalFormatting>
  <conditionalFormatting sqref="A555">
    <cfRule type="duplicateValues" dxfId="106" priority="113"/>
  </conditionalFormatting>
  <conditionalFormatting sqref="A555">
    <cfRule type="duplicateValues" dxfId="105" priority="114"/>
  </conditionalFormatting>
  <conditionalFormatting sqref="A572">
    <cfRule type="duplicateValues" dxfId="104" priority="111"/>
  </conditionalFormatting>
  <conditionalFormatting sqref="A572">
    <cfRule type="duplicateValues" dxfId="103" priority="112"/>
  </conditionalFormatting>
  <conditionalFormatting sqref="A713">
    <cfRule type="duplicateValues" dxfId="102" priority="109"/>
  </conditionalFormatting>
  <conditionalFormatting sqref="A713">
    <cfRule type="duplicateValues" dxfId="101" priority="110"/>
  </conditionalFormatting>
  <conditionalFormatting sqref="A733">
    <cfRule type="duplicateValues" dxfId="100" priority="107"/>
  </conditionalFormatting>
  <conditionalFormatting sqref="A733">
    <cfRule type="duplicateValues" dxfId="99" priority="108"/>
  </conditionalFormatting>
  <conditionalFormatting sqref="A240">
    <cfRule type="duplicateValues" dxfId="98" priority="104"/>
  </conditionalFormatting>
  <conditionalFormatting sqref="A240">
    <cfRule type="duplicateValues" dxfId="97" priority="105"/>
  </conditionalFormatting>
  <conditionalFormatting sqref="A240">
    <cfRule type="duplicateValues" dxfId="96" priority="106"/>
  </conditionalFormatting>
  <conditionalFormatting sqref="A349">
    <cfRule type="duplicateValues" dxfId="95" priority="101"/>
  </conditionalFormatting>
  <conditionalFormatting sqref="A349">
    <cfRule type="duplicateValues" dxfId="94" priority="102"/>
  </conditionalFormatting>
  <conditionalFormatting sqref="A349">
    <cfRule type="duplicateValues" dxfId="93" priority="103"/>
  </conditionalFormatting>
  <conditionalFormatting sqref="A241">
    <cfRule type="duplicateValues" dxfId="92" priority="99"/>
  </conditionalFormatting>
  <conditionalFormatting sqref="A241">
    <cfRule type="duplicateValues" dxfId="91" priority="100"/>
  </conditionalFormatting>
  <conditionalFormatting sqref="A443">
    <cfRule type="duplicateValues" dxfId="90" priority="97"/>
  </conditionalFormatting>
  <conditionalFormatting sqref="A443">
    <cfRule type="duplicateValues" dxfId="89" priority="98"/>
  </conditionalFormatting>
  <conditionalFormatting sqref="A477">
    <cfRule type="duplicateValues" dxfId="88" priority="95"/>
  </conditionalFormatting>
  <conditionalFormatting sqref="A477">
    <cfRule type="duplicateValues" dxfId="87" priority="96"/>
  </conditionalFormatting>
  <conditionalFormatting sqref="A575">
    <cfRule type="duplicateValues" dxfId="86" priority="93"/>
  </conditionalFormatting>
  <conditionalFormatting sqref="A575">
    <cfRule type="duplicateValues" dxfId="85" priority="94"/>
  </conditionalFormatting>
  <conditionalFormatting sqref="A243">
    <cfRule type="duplicateValues" dxfId="84" priority="91"/>
  </conditionalFormatting>
  <conditionalFormatting sqref="A243">
    <cfRule type="duplicateValues" dxfId="83" priority="92"/>
  </conditionalFormatting>
  <conditionalFormatting sqref="A253">
    <cfRule type="duplicateValues" dxfId="82" priority="89"/>
  </conditionalFormatting>
  <conditionalFormatting sqref="A253">
    <cfRule type="duplicateValues" dxfId="81" priority="90"/>
  </conditionalFormatting>
  <conditionalFormatting sqref="A268">
    <cfRule type="duplicateValues" dxfId="80" priority="87"/>
  </conditionalFormatting>
  <conditionalFormatting sqref="A268">
    <cfRule type="duplicateValues" dxfId="79" priority="88"/>
  </conditionalFormatting>
  <conditionalFormatting sqref="A395">
    <cfRule type="duplicateValues" dxfId="78" priority="85"/>
  </conditionalFormatting>
  <conditionalFormatting sqref="A395">
    <cfRule type="duplicateValues" dxfId="77" priority="86"/>
  </conditionalFormatting>
  <conditionalFormatting sqref="A406">
    <cfRule type="duplicateValues" dxfId="76" priority="83"/>
  </conditionalFormatting>
  <conditionalFormatting sqref="A406">
    <cfRule type="duplicateValues" dxfId="75" priority="84"/>
  </conditionalFormatting>
  <conditionalFormatting sqref="A462">
    <cfRule type="duplicateValues" dxfId="74" priority="81"/>
  </conditionalFormatting>
  <conditionalFormatting sqref="A462">
    <cfRule type="duplicateValues" dxfId="73" priority="82"/>
  </conditionalFormatting>
  <conditionalFormatting sqref="A485">
    <cfRule type="duplicateValues" dxfId="72" priority="79"/>
  </conditionalFormatting>
  <conditionalFormatting sqref="A485">
    <cfRule type="duplicateValues" dxfId="71" priority="80"/>
  </conditionalFormatting>
  <conditionalFormatting sqref="A273">
    <cfRule type="duplicateValues" dxfId="70" priority="73"/>
  </conditionalFormatting>
  <conditionalFormatting sqref="A273">
    <cfRule type="duplicateValues" dxfId="69" priority="74"/>
  </conditionalFormatting>
  <conditionalFormatting sqref="A335">
    <cfRule type="duplicateValues" dxfId="68" priority="71"/>
  </conditionalFormatting>
  <conditionalFormatting sqref="A335">
    <cfRule type="duplicateValues" dxfId="67" priority="72"/>
  </conditionalFormatting>
  <conditionalFormatting sqref="A696">
    <cfRule type="duplicateValues" dxfId="66" priority="69"/>
  </conditionalFormatting>
  <conditionalFormatting sqref="A696">
    <cfRule type="duplicateValues" dxfId="65" priority="70"/>
  </conditionalFormatting>
  <conditionalFormatting sqref="A646">
    <cfRule type="duplicateValues" dxfId="64" priority="66"/>
  </conditionalFormatting>
  <conditionalFormatting sqref="A646">
    <cfRule type="duplicateValues" dxfId="63" priority="67"/>
  </conditionalFormatting>
  <conditionalFormatting sqref="A646">
    <cfRule type="duplicateValues" dxfId="62" priority="68"/>
  </conditionalFormatting>
  <conditionalFormatting sqref="A684">
    <cfRule type="duplicateValues" dxfId="61" priority="63"/>
  </conditionalFormatting>
  <conditionalFormatting sqref="A684">
    <cfRule type="duplicateValues" dxfId="60" priority="64"/>
  </conditionalFormatting>
  <conditionalFormatting sqref="A684">
    <cfRule type="duplicateValues" dxfId="59" priority="65"/>
  </conditionalFormatting>
  <conditionalFormatting sqref="A333">
    <cfRule type="duplicateValues" dxfId="58" priority="57"/>
  </conditionalFormatting>
  <conditionalFormatting sqref="A333">
    <cfRule type="duplicateValues" dxfId="57" priority="58"/>
  </conditionalFormatting>
  <conditionalFormatting sqref="A333">
    <cfRule type="duplicateValues" dxfId="56" priority="59"/>
  </conditionalFormatting>
  <conditionalFormatting sqref="A348">
    <cfRule type="duplicateValues" dxfId="55" priority="54"/>
  </conditionalFormatting>
  <conditionalFormatting sqref="A348">
    <cfRule type="duplicateValues" dxfId="54" priority="55"/>
  </conditionalFormatting>
  <conditionalFormatting sqref="A348">
    <cfRule type="duplicateValues" dxfId="53" priority="56"/>
  </conditionalFormatting>
  <conditionalFormatting sqref="A364">
    <cfRule type="duplicateValues" dxfId="52" priority="51"/>
  </conditionalFormatting>
  <conditionalFormatting sqref="A364">
    <cfRule type="duplicateValues" dxfId="51" priority="52"/>
  </conditionalFormatting>
  <conditionalFormatting sqref="A364">
    <cfRule type="duplicateValues" dxfId="50" priority="53"/>
  </conditionalFormatting>
  <conditionalFormatting sqref="A351">
    <cfRule type="duplicateValues" dxfId="49" priority="49"/>
  </conditionalFormatting>
  <conditionalFormatting sqref="A351">
    <cfRule type="duplicateValues" dxfId="48" priority="50"/>
  </conditionalFormatting>
  <conditionalFormatting sqref="A340">
    <cfRule type="duplicateValues" dxfId="47" priority="47"/>
  </conditionalFormatting>
  <conditionalFormatting sqref="A340">
    <cfRule type="duplicateValues" dxfId="46" priority="48"/>
  </conditionalFormatting>
  <conditionalFormatting sqref="A356">
    <cfRule type="duplicateValues" dxfId="45" priority="45"/>
  </conditionalFormatting>
  <conditionalFormatting sqref="A356">
    <cfRule type="duplicateValues" dxfId="44" priority="46"/>
  </conditionalFormatting>
  <conditionalFormatting sqref="A368">
    <cfRule type="duplicateValues" dxfId="43" priority="43"/>
  </conditionalFormatting>
  <conditionalFormatting sqref="A368">
    <cfRule type="duplicateValues" dxfId="42" priority="44"/>
  </conditionalFormatting>
  <conditionalFormatting sqref="A445">
    <cfRule type="duplicateValues" dxfId="41" priority="41"/>
  </conditionalFormatting>
  <conditionalFormatting sqref="A445">
    <cfRule type="duplicateValues" dxfId="40" priority="42"/>
  </conditionalFormatting>
  <conditionalFormatting sqref="A478">
    <cfRule type="duplicateValues" dxfId="39" priority="39"/>
  </conditionalFormatting>
  <conditionalFormatting sqref="A478">
    <cfRule type="duplicateValues" dxfId="38" priority="40"/>
  </conditionalFormatting>
  <conditionalFormatting sqref="A578">
    <cfRule type="duplicateValues" dxfId="37" priority="37"/>
  </conditionalFormatting>
  <conditionalFormatting sqref="A578">
    <cfRule type="duplicateValues" dxfId="36" priority="38"/>
  </conditionalFormatting>
  <conditionalFormatting sqref="A731">
    <cfRule type="duplicateValues" dxfId="35" priority="35"/>
  </conditionalFormatting>
  <conditionalFormatting sqref="A731">
    <cfRule type="duplicateValues" dxfId="34" priority="36"/>
  </conditionalFormatting>
  <conditionalFormatting sqref="A444">
    <cfRule type="duplicateValues" dxfId="33" priority="33"/>
  </conditionalFormatting>
  <conditionalFormatting sqref="A444">
    <cfRule type="duplicateValues" dxfId="32" priority="34"/>
  </conditionalFormatting>
  <conditionalFormatting sqref="A476">
    <cfRule type="duplicateValues" dxfId="31" priority="31"/>
  </conditionalFormatting>
  <conditionalFormatting sqref="A476">
    <cfRule type="duplicateValues" dxfId="30" priority="32"/>
  </conditionalFormatting>
  <conditionalFormatting sqref="A576">
    <cfRule type="duplicateValues" dxfId="29" priority="29"/>
  </conditionalFormatting>
  <conditionalFormatting sqref="A576">
    <cfRule type="duplicateValues" dxfId="28" priority="30"/>
  </conditionalFormatting>
  <conditionalFormatting sqref="A452">
    <cfRule type="duplicateValues" dxfId="27" priority="27"/>
  </conditionalFormatting>
  <conditionalFormatting sqref="A452">
    <cfRule type="duplicateValues" dxfId="26" priority="28"/>
  </conditionalFormatting>
  <conditionalFormatting sqref="A470">
    <cfRule type="duplicateValues" dxfId="25" priority="25"/>
  </conditionalFormatting>
  <conditionalFormatting sqref="A470">
    <cfRule type="duplicateValues" dxfId="24" priority="26"/>
  </conditionalFormatting>
  <conditionalFormatting sqref="A551">
    <cfRule type="duplicateValues" dxfId="23" priority="23"/>
  </conditionalFormatting>
  <conditionalFormatting sqref="A551">
    <cfRule type="duplicateValues" dxfId="22" priority="24"/>
  </conditionalFormatting>
  <conditionalFormatting sqref="A568">
    <cfRule type="duplicateValues" dxfId="21" priority="21"/>
  </conditionalFormatting>
  <conditionalFormatting sqref="A568">
    <cfRule type="duplicateValues" dxfId="20" priority="22"/>
  </conditionalFormatting>
  <conditionalFormatting sqref="A730">
    <cfRule type="duplicateValues" dxfId="19" priority="19"/>
  </conditionalFormatting>
  <conditionalFormatting sqref="A730">
    <cfRule type="duplicateValues" dxfId="18" priority="20"/>
  </conditionalFormatting>
  <conditionalFormatting sqref="A488">
    <cfRule type="duplicateValues" dxfId="17" priority="16"/>
  </conditionalFormatting>
  <conditionalFormatting sqref="A488">
    <cfRule type="duplicateValues" dxfId="16" priority="17"/>
  </conditionalFormatting>
  <conditionalFormatting sqref="A488">
    <cfRule type="duplicateValues" dxfId="15" priority="18"/>
  </conditionalFormatting>
  <conditionalFormatting sqref="A541">
    <cfRule type="duplicateValues" dxfId="14" priority="14"/>
  </conditionalFormatting>
  <conditionalFormatting sqref="A541">
    <cfRule type="duplicateValues" dxfId="13" priority="15"/>
  </conditionalFormatting>
  <conditionalFormatting sqref="A657">
    <cfRule type="duplicateValues" dxfId="12" priority="13"/>
  </conditionalFormatting>
  <conditionalFormatting sqref="A720">
    <cfRule type="duplicateValues" dxfId="11" priority="12"/>
  </conditionalFormatting>
  <conditionalFormatting sqref="A722">
    <cfRule type="duplicateValues" dxfId="10" priority="9"/>
  </conditionalFormatting>
  <conditionalFormatting sqref="A722">
    <cfRule type="duplicateValues" dxfId="9" priority="10"/>
  </conditionalFormatting>
  <conditionalFormatting sqref="A722">
    <cfRule type="duplicateValues" dxfId="8" priority="11"/>
  </conditionalFormatting>
  <conditionalFormatting sqref="A747">
    <cfRule type="duplicateValues" dxfId="7" priority="6"/>
  </conditionalFormatting>
  <conditionalFormatting sqref="A747">
    <cfRule type="duplicateValues" dxfId="6" priority="7"/>
  </conditionalFormatting>
  <conditionalFormatting sqref="A747">
    <cfRule type="duplicateValues" dxfId="5" priority="8"/>
  </conditionalFormatting>
  <conditionalFormatting sqref="A761">
    <cfRule type="duplicateValues" dxfId="4" priority="3"/>
  </conditionalFormatting>
  <conditionalFormatting sqref="A761">
    <cfRule type="duplicateValues" dxfId="3" priority="4"/>
  </conditionalFormatting>
  <conditionalFormatting sqref="A761">
    <cfRule type="duplicateValues" dxfId="2" priority="5"/>
  </conditionalFormatting>
  <conditionalFormatting sqref="A729">
    <cfRule type="duplicateValues" dxfId="1" priority="1"/>
  </conditionalFormatting>
  <conditionalFormatting sqref="A729">
    <cfRule type="duplicateValues" dxfId="0" priority="2"/>
  </conditionalFormatting>
  <hyperlinks>
    <hyperlink ref="B28" r:id="rId1" display="http://www.gyldendal.no/aqua"/>
    <hyperlink ref="B823" r:id="rId2" display="http://www.kptkomet.no/produkter/_no_biologi_cellebiologi%252C_106/cellen/vnr/102950/"/>
    <hyperlink ref="B257" r:id="rId3" display="http://www.kptkomet.no/produkter/_no_biologi_cellebiologi%252C_106/cellen/vnr/102950/"/>
    <hyperlink ref="B272" r:id="rId4" display="http://www.kptkomet.no/produkter/_no_biologi_cellebiologi%252C_106/cellen/vnr/102950/"/>
    <hyperlink ref="B287" r:id="rId5" display="http://www.kptkomet.no/produkter/_no_biologi_cellebiologi%252C_106/cellen/vnr/102950/"/>
    <hyperlink ref="B297" r:id="rId6" display="http://www.kptkomet.no/produkter/_no_biologi_cellebiologi%252C_106/cellen/vnr/102950/"/>
    <hyperlink ref="B451" r:id="rId7" display="http://www.kptkomet.no/produkter/_no_biologi_cellebiologi%252C_106/cellen/vnr/102950/"/>
    <hyperlink ref="B511" r:id="rId8" display="http://www.kptkomet.no/produkter/_no_biologi_cellebiologi%252C_106/cellen/vnr/102950/"/>
    <hyperlink ref="B561" r:id="rId9" display="http://www.kptkomet.no/produkter/_no_biologi_cellebiologi%252C_106/cellen/vnr/102950/"/>
  </hyperlinks>
  <printOptions gridLines="1"/>
  <pageMargins left="0.70866141732283472" right="0.70866141732283472" top="0.55118110236220474" bottom="0.55118110236220474" header="0.31496062992125984" footer="0.31496062992125984"/>
  <pageSetup paperSize="9" scale="90" fitToHeight="0" orientation="portrait" r:id="rId10"/>
  <customProperties>
    <customPr name="DVSECTIONID" r:id="rId11"/>
  </customProperties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IV36"/>
  <sheetViews>
    <sheetView workbookViewId="0">
      <selection activeCell="A36" sqref="A36"/>
    </sheetView>
  </sheetViews>
  <sheetFormatPr baseColWidth="10" defaultRowHeight="15" x14ac:dyDescent="0.25"/>
  <sheetData>
    <row r="1" spans="1:256" x14ac:dyDescent="0.25">
      <c r="A1">
        <f>IF('Ark1'!1:1,"AAAAAEf//wA=",0)</f>
        <v>0</v>
      </c>
      <c r="B1" t="e">
        <f>AND('Ark1'!A1,"AAAAAEf//wE=")</f>
        <v>#VALUE!</v>
      </c>
      <c r="C1" t="e">
        <f>AND('Ark1'!B1,"AAAAAEf//wI=")</f>
        <v>#VALUE!</v>
      </c>
      <c r="D1" t="e">
        <f>AND('Ark1'!C1,"AAAAAEf//wM=")</f>
        <v>#VALUE!</v>
      </c>
      <c r="E1" t="e">
        <f>AND('Ark1'!D1,"AAAAAEf//wQ=")</f>
        <v>#VALUE!</v>
      </c>
      <c r="F1" t="e">
        <f>AND('Ark1'!E1,"AAAAAEf//wU=")</f>
        <v>#VALUE!</v>
      </c>
      <c r="G1" t="e">
        <f>AND('Ark1'!F1,"AAAAAEf//wY=")</f>
        <v>#VALUE!</v>
      </c>
      <c r="H1" t="e">
        <f>AND('Ark1'!G1,"AAAAAEf//wc=")</f>
        <v>#VALUE!</v>
      </c>
      <c r="I1" t="e">
        <f>AND('Ark1'!H1,"AAAAAEf//wg=")</f>
        <v>#VALUE!</v>
      </c>
      <c r="J1">
        <f>IF('Ark1'!2:2,"AAAAAEf//wk=",0)</f>
        <v>0</v>
      </c>
      <c r="K1" t="e">
        <f>AND('Ark1'!A2,"AAAAAEf//wo=")</f>
        <v>#VALUE!</v>
      </c>
      <c r="L1" t="e">
        <f>AND('Ark1'!B2,"AAAAAEf//ws=")</f>
        <v>#VALUE!</v>
      </c>
      <c r="M1" t="e">
        <f>AND('Ark1'!C2,"AAAAAEf//ww=")</f>
        <v>#VALUE!</v>
      </c>
      <c r="N1" t="e">
        <f>AND('Ark1'!D2,"AAAAAEf//w0=")</f>
        <v>#VALUE!</v>
      </c>
      <c r="O1" t="e">
        <f>AND('Ark1'!E2,"AAAAAEf//w4=")</f>
        <v>#VALUE!</v>
      </c>
      <c r="P1" t="e">
        <f>AND('Ark1'!F2,"AAAAAEf//w8=")</f>
        <v>#VALUE!</v>
      </c>
      <c r="Q1" t="e">
        <f>AND('Ark1'!G2,"AAAAAEf//xA=")</f>
        <v>#VALUE!</v>
      </c>
      <c r="R1" t="e">
        <f>AND('Ark1'!H2,"AAAAAEf//xE=")</f>
        <v>#VALUE!</v>
      </c>
      <c r="S1">
        <f>IF('Ark1'!3:3,"AAAAAEf//xI=",0)</f>
        <v>0</v>
      </c>
      <c r="T1" t="e">
        <f>AND('Ark1'!A3,"AAAAAEf//xM=")</f>
        <v>#VALUE!</v>
      </c>
      <c r="U1" t="e">
        <f>AND('Ark1'!B3,"AAAAAEf//xQ=")</f>
        <v>#VALUE!</v>
      </c>
      <c r="V1" t="e">
        <f>AND('Ark1'!C3,"AAAAAEf//xU=")</f>
        <v>#VALUE!</v>
      </c>
      <c r="W1" t="e">
        <f>AND('Ark1'!D3,"AAAAAEf//xY=")</f>
        <v>#VALUE!</v>
      </c>
      <c r="X1" t="e">
        <f>AND('Ark1'!E3,"AAAAAEf//xc=")</f>
        <v>#VALUE!</v>
      </c>
      <c r="Y1" t="e">
        <f>AND('Ark1'!F3,"AAAAAEf//xg=")</f>
        <v>#VALUE!</v>
      </c>
      <c r="Z1" t="e">
        <f>AND('Ark1'!G3,"AAAAAEf//xk=")</f>
        <v>#VALUE!</v>
      </c>
      <c r="AA1" t="e">
        <f>AND('Ark1'!H3,"AAAAAEf//xo=")</f>
        <v>#VALUE!</v>
      </c>
      <c r="AB1">
        <f>IF('Ark1'!4:4,"AAAAAEf//xs=",0)</f>
        <v>0</v>
      </c>
      <c r="AC1" t="e">
        <f>AND('Ark1'!A4,"AAAAAEf//xw=")</f>
        <v>#VALUE!</v>
      </c>
      <c r="AD1" t="e">
        <f>AND('Ark1'!B4,"AAAAAEf//x0=")</f>
        <v>#VALUE!</v>
      </c>
      <c r="AE1" t="e">
        <f>AND('Ark1'!C4,"AAAAAEf//x4=")</f>
        <v>#VALUE!</v>
      </c>
      <c r="AF1" t="e">
        <f>AND('Ark1'!D4,"AAAAAEf//x8=")</f>
        <v>#VALUE!</v>
      </c>
      <c r="AG1" t="e">
        <f>AND('Ark1'!E4,"AAAAAEf//yA=")</f>
        <v>#VALUE!</v>
      </c>
      <c r="AH1" t="e">
        <f>AND('Ark1'!F4,"AAAAAEf//yE=")</f>
        <v>#VALUE!</v>
      </c>
      <c r="AI1" t="e">
        <f>AND('Ark1'!G4,"AAAAAEf//yI=")</f>
        <v>#VALUE!</v>
      </c>
      <c r="AJ1" t="e">
        <f>AND('Ark1'!H4,"AAAAAEf//yM=")</f>
        <v>#VALUE!</v>
      </c>
      <c r="AK1">
        <f>IF('Ark1'!5:5,"AAAAAEf//yQ=",0)</f>
        <v>0</v>
      </c>
      <c r="AL1" t="e">
        <f>AND('Ark1'!A5,"AAAAAEf//yU=")</f>
        <v>#VALUE!</v>
      </c>
      <c r="AM1" t="e">
        <f>AND('Ark1'!B5,"AAAAAEf//yY=")</f>
        <v>#VALUE!</v>
      </c>
      <c r="AN1" t="e">
        <f>AND('Ark1'!C5,"AAAAAEf//yc=")</f>
        <v>#VALUE!</v>
      </c>
      <c r="AO1" t="e">
        <f>AND('Ark1'!D5,"AAAAAEf//yg=")</f>
        <v>#VALUE!</v>
      </c>
      <c r="AP1" t="e">
        <f>AND('Ark1'!E5,"AAAAAEf//yk=")</f>
        <v>#VALUE!</v>
      </c>
      <c r="AQ1" t="e">
        <f>AND('Ark1'!F5,"AAAAAEf//yo=")</f>
        <v>#VALUE!</v>
      </c>
      <c r="AR1" t="e">
        <f>AND('Ark1'!G5,"AAAAAEf//ys=")</f>
        <v>#VALUE!</v>
      </c>
      <c r="AS1" t="e">
        <f>AND('Ark1'!H5,"AAAAAEf//yw=")</f>
        <v>#VALUE!</v>
      </c>
      <c r="AT1">
        <f>IF('Ark1'!6:6,"AAAAAEf//y0=",0)</f>
        <v>0</v>
      </c>
      <c r="AU1" t="e">
        <f>AND('Ark1'!A6,"AAAAAEf//y4=")</f>
        <v>#VALUE!</v>
      </c>
      <c r="AV1" t="e">
        <f>AND('Ark1'!B6,"AAAAAEf//y8=")</f>
        <v>#VALUE!</v>
      </c>
      <c r="AW1" t="e">
        <f>AND('Ark1'!C6,"AAAAAEf//zA=")</f>
        <v>#VALUE!</v>
      </c>
      <c r="AX1" t="e">
        <f>AND('Ark1'!D6,"AAAAAEf//zE=")</f>
        <v>#VALUE!</v>
      </c>
      <c r="AY1" t="e">
        <f>AND('Ark1'!E6,"AAAAAEf//zI=")</f>
        <v>#VALUE!</v>
      </c>
      <c r="AZ1" t="e">
        <f>AND('Ark1'!F6,"AAAAAEf//zM=")</f>
        <v>#VALUE!</v>
      </c>
      <c r="BA1" t="e">
        <f>AND('Ark1'!G6,"AAAAAEf//zQ=")</f>
        <v>#VALUE!</v>
      </c>
      <c r="BB1" t="e">
        <f>AND('Ark1'!H6,"AAAAAEf//zU=")</f>
        <v>#VALUE!</v>
      </c>
      <c r="BC1">
        <f>IF('Ark1'!7:7,"AAAAAEf//zY=",0)</f>
        <v>0</v>
      </c>
      <c r="BD1" t="e">
        <f>AND('Ark1'!A7,"AAAAAEf//zc=")</f>
        <v>#VALUE!</v>
      </c>
      <c r="BE1" t="e">
        <f>AND('Ark1'!B7,"AAAAAEf//zg=")</f>
        <v>#VALUE!</v>
      </c>
      <c r="BF1" t="e">
        <f>AND('Ark1'!C7,"AAAAAEf//zk=")</f>
        <v>#VALUE!</v>
      </c>
      <c r="BG1" t="e">
        <f>AND('Ark1'!D7,"AAAAAEf//zo=")</f>
        <v>#VALUE!</v>
      </c>
      <c r="BH1" t="e">
        <f>AND('Ark1'!E7,"AAAAAEf//zs=")</f>
        <v>#VALUE!</v>
      </c>
      <c r="BI1" t="e">
        <f>AND('Ark1'!F7,"AAAAAEf//zw=")</f>
        <v>#VALUE!</v>
      </c>
      <c r="BJ1" t="e">
        <f>AND('Ark1'!G7,"AAAAAEf//z0=")</f>
        <v>#VALUE!</v>
      </c>
      <c r="BK1" t="e">
        <f>AND('Ark1'!H7,"AAAAAEf//z4=")</f>
        <v>#VALUE!</v>
      </c>
      <c r="BL1">
        <f>IF('Ark1'!8:8,"AAAAAEf//z8=",0)</f>
        <v>0</v>
      </c>
      <c r="BM1" t="e">
        <f>AND('Ark1'!A8,"AAAAAEf//0A=")</f>
        <v>#VALUE!</v>
      </c>
      <c r="BN1" t="e">
        <f>AND('Ark1'!B8,"AAAAAEf//0E=")</f>
        <v>#VALUE!</v>
      </c>
      <c r="BO1" t="e">
        <f>AND('Ark1'!C8,"AAAAAEf//0I=")</f>
        <v>#VALUE!</v>
      </c>
      <c r="BP1" t="e">
        <f>AND('Ark1'!D8,"AAAAAEf//0M=")</f>
        <v>#VALUE!</v>
      </c>
      <c r="BQ1" t="e">
        <f>AND('Ark1'!E8,"AAAAAEf//0Q=")</f>
        <v>#VALUE!</v>
      </c>
      <c r="BR1" t="e">
        <f>AND('Ark1'!F8,"AAAAAEf//0U=")</f>
        <v>#VALUE!</v>
      </c>
      <c r="BS1" t="e">
        <f>AND('Ark1'!G8,"AAAAAEf//0Y=")</f>
        <v>#VALUE!</v>
      </c>
      <c r="BT1" t="e">
        <f>AND('Ark1'!H8,"AAAAAEf//0c=")</f>
        <v>#VALUE!</v>
      </c>
      <c r="BU1">
        <f>IF('Ark1'!9:9,"AAAAAEf//0g=",0)</f>
        <v>0</v>
      </c>
      <c r="BV1" t="e">
        <f>AND('Ark1'!A9,"AAAAAEf//0k=")</f>
        <v>#VALUE!</v>
      </c>
      <c r="BW1" t="e">
        <f>AND('Ark1'!B9,"AAAAAEf//0o=")</f>
        <v>#VALUE!</v>
      </c>
      <c r="BX1" t="e">
        <f>AND('Ark1'!C9,"AAAAAEf//0s=")</f>
        <v>#VALUE!</v>
      </c>
      <c r="BY1" t="e">
        <f>AND('Ark1'!D9,"AAAAAEf//0w=")</f>
        <v>#VALUE!</v>
      </c>
      <c r="BZ1" t="e">
        <f>AND('Ark1'!E9,"AAAAAEf//00=")</f>
        <v>#VALUE!</v>
      </c>
      <c r="CA1" t="e">
        <f>AND('Ark1'!F9,"AAAAAEf//04=")</f>
        <v>#VALUE!</v>
      </c>
      <c r="CB1" t="e">
        <f>AND('Ark1'!G9,"AAAAAEf//08=")</f>
        <v>#VALUE!</v>
      </c>
      <c r="CC1" t="e">
        <f>AND('Ark1'!H9,"AAAAAEf//1A=")</f>
        <v>#VALUE!</v>
      </c>
      <c r="CD1">
        <f>IF('Ark1'!10:10,"AAAAAEf//1E=",0)</f>
        <v>0</v>
      </c>
      <c r="CE1" t="e">
        <f>AND('Ark1'!A10,"AAAAAEf//1I=")</f>
        <v>#VALUE!</v>
      </c>
      <c r="CF1" t="e">
        <f>AND('Ark1'!B10,"AAAAAEf//1M=")</f>
        <v>#VALUE!</v>
      </c>
      <c r="CG1" t="e">
        <f>AND('Ark1'!C10,"AAAAAEf//1Q=")</f>
        <v>#VALUE!</v>
      </c>
      <c r="CH1" t="e">
        <f>AND('Ark1'!D10,"AAAAAEf//1U=")</f>
        <v>#VALUE!</v>
      </c>
      <c r="CI1" t="e">
        <f>AND('Ark1'!E10,"AAAAAEf//1Y=")</f>
        <v>#VALUE!</v>
      </c>
      <c r="CJ1" t="e">
        <f>AND('Ark1'!F10,"AAAAAEf//1c=")</f>
        <v>#VALUE!</v>
      </c>
      <c r="CK1" t="e">
        <f>AND('Ark1'!G10,"AAAAAEf//1g=")</f>
        <v>#VALUE!</v>
      </c>
      <c r="CL1" t="e">
        <f>AND('Ark1'!H10,"AAAAAEf//1k=")</f>
        <v>#VALUE!</v>
      </c>
      <c r="CM1">
        <f>IF('Ark1'!11:11,"AAAAAEf//1o=",0)</f>
        <v>0</v>
      </c>
      <c r="CN1" t="e">
        <f>AND('Ark1'!A11,"AAAAAEf//1s=")</f>
        <v>#VALUE!</v>
      </c>
      <c r="CO1" t="e">
        <f>AND('Ark1'!B11,"AAAAAEf//1w=")</f>
        <v>#VALUE!</v>
      </c>
      <c r="CP1" t="e">
        <f>AND('Ark1'!C11,"AAAAAEf//10=")</f>
        <v>#VALUE!</v>
      </c>
      <c r="CQ1" t="e">
        <f>AND('Ark1'!D11,"AAAAAEf//14=")</f>
        <v>#VALUE!</v>
      </c>
      <c r="CR1" t="e">
        <f>AND('Ark1'!E11,"AAAAAEf//18=")</f>
        <v>#VALUE!</v>
      </c>
      <c r="CS1" t="e">
        <f>AND('Ark1'!F11,"AAAAAEf//2A=")</f>
        <v>#VALUE!</v>
      </c>
      <c r="CT1" t="e">
        <f>AND('Ark1'!G11,"AAAAAEf//2E=")</f>
        <v>#VALUE!</v>
      </c>
      <c r="CU1" t="e">
        <f>AND('Ark1'!H11,"AAAAAEf//2I=")</f>
        <v>#VALUE!</v>
      </c>
      <c r="CV1">
        <f>IF('Ark1'!12:12,"AAAAAEf//2M=",0)</f>
        <v>0</v>
      </c>
      <c r="CW1" t="e">
        <f>AND('Ark1'!A12,"AAAAAEf//2Q=")</f>
        <v>#VALUE!</v>
      </c>
      <c r="CX1" t="e">
        <f>AND('Ark1'!B12,"AAAAAEf//2U=")</f>
        <v>#VALUE!</v>
      </c>
      <c r="CY1" t="e">
        <f>AND('Ark1'!C12,"AAAAAEf//2Y=")</f>
        <v>#VALUE!</v>
      </c>
      <c r="CZ1" t="e">
        <f>AND('Ark1'!D12,"AAAAAEf//2c=")</f>
        <v>#VALUE!</v>
      </c>
      <c r="DA1" t="e">
        <f>AND('Ark1'!E12,"AAAAAEf//2g=")</f>
        <v>#VALUE!</v>
      </c>
      <c r="DB1" t="e">
        <f>AND('Ark1'!F12,"AAAAAEf//2k=")</f>
        <v>#VALUE!</v>
      </c>
      <c r="DC1" t="e">
        <f>AND('Ark1'!G12,"AAAAAEf//2o=")</f>
        <v>#VALUE!</v>
      </c>
      <c r="DD1" t="e">
        <f>AND('Ark1'!H12,"AAAAAEf//2s=")</f>
        <v>#VALUE!</v>
      </c>
      <c r="DE1">
        <f>IF('Ark1'!13:13,"AAAAAEf//2w=",0)</f>
        <v>0</v>
      </c>
      <c r="DF1" t="e">
        <f>AND('Ark1'!A13,"AAAAAEf//20=")</f>
        <v>#VALUE!</v>
      </c>
      <c r="DG1" t="e">
        <f>AND('Ark1'!B13,"AAAAAEf//24=")</f>
        <v>#VALUE!</v>
      </c>
      <c r="DH1" t="e">
        <f>AND('Ark1'!C13,"AAAAAEf//28=")</f>
        <v>#VALUE!</v>
      </c>
      <c r="DI1" t="e">
        <f>AND('Ark1'!D13,"AAAAAEf//3A=")</f>
        <v>#VALUE!</v>
      </c>
      <c r="DJ1" t="e">
        <f>AND('Ark1'!E13,"AAAAAEf//3E=")</f>
        <v>#VALUE!</v>
      </c>
      <c r="DK1" t="e">
        <f>AND('Ark1'!F13,"AAAAAEf//3I=")</f>
        <v>#VALUE!</v>
      </c>
      <c r="DL1" t="e">
        <f>AND('Ark1'!G13,"AAAAAEf//3M=")</f>
        <v>#VALUE!</v>
      </c>
      <c r="DM1" t="e">
        <f>AND('Ark1'!H13,"AAAAAEf//3Q=")</f>
        <v>#VALUE!</v>
      </c>
      <c r="DN1">
        <f>IF('Ark1'!14:14,"AAAAAEf//3U=",0)</f>
        <v>0</v>
      </c>
      <c r="DO1" t="e">
        <f>AND('Ark1'!A14,"AAAAAEf//3Y=")</f>
        <v>#VALUE!</v>
      </c>
      <c r="DP1" t="e">
        <f>AND('Ark1'!B14,"AAAAAEf//3c=")</f>
        <v>#VALUE!</v>
      </c>
      <c r="DQ1" t="e">
        <f>AND('Ark1'!C14,"AAAAAEf//3g=")</f>
        <v>#VALUE!</v>
      </c>
      <c r="DR1" t="e">
        <f>AND('Ark1'!D14,"AAAAAEf//3k=")</f>
        <v>#VALUE!</v>
      </c>
      <c r="DS1" t="e">
        <f>AND('Ark1'!E14,"AAAAAEf//3o=")</f>
        <v>#VALUE!</v>
      </c>
      <c r="DT1" t="e">
        <f>AND('Ark1'!F14,"AAAAAEf//3s=")</f>
        <v>#VALUE!</v>
      </c>
      <c r="DU1" t="e">
        <f>AND('Ark1'!G14,"AAAAAEf//3w=")</f>
        <v>#VALUE!</v>
      </c>
      <c r="DV1" t="e">
        <f>AND('Ark1'!H14,"AAAAAEf//30=")</f>
        <v>#VALUE!</v>
      </c>
      <c r="DW1">
        <f>IF('Ark1'!15:15,"AAAAAEf//34=",0)</f>
        <v>0</v>
      </c>
      <c r="DX1" t="e">
        <f>AND('Ark1'!A15,"AAAAAEf//38=")</f>
        <v>#VALUE!</v>
      </c>
      <c r="DY1" t="e">
        <f>AND('Ark1'!B15,"AAAAAEf//4A=")</f>
        <v>#VALUE!</v>
      </c>
      <c r="DZ1" t="e">
        <f>AND('Ark1'!C15,"AAAAAEf//4E=")</f>
        <v>#VALUE!</v>
      </c>
      <c r="EA1" t="e">
        <f>AND('Ark1'!D15,"AAAAAEf//4I=")</f>
        <v>#VALUE!</v>
      </c>
      <c r="EB1" t="e">
        <f>AND('Ark1'!E15,"AAAAAEf//4M=")</f>
        <v>#VALUE!</v>
      </c>
      <c r="EC1" t="e">
        <f>AND('Ark1'!F15,"AAAAAEf//4Q=")</f>
        <v>#VALUE!</v>
      </c>
      <c r="ED1" t="e">
        <f>AND('Ark1'!G15,"AAAAAEf//4U=")</f>
        <v>#VALUE!</v>
      </c>
      <c r="EE1" t="e">
        <f>AND('Ark1'!H15,"AAAAAEf//4Y=")</f>
        <v>#VALUE!</v>
      </c>
      <c r="EF1">
        <f>IF('Ark1'!16:16,"AAAAAEf//4c=",0)</f>
        <v>0</v>
      </c>
      <c r="EG1" t="e">
        <f>AND('Ark1'!A16,"AAAAAEf//4g=")</f>
        <v>#VALUE!</v>
      </c>
      <c r="EH1" t="e">
        <f>AND('Ark1'!B16,"AAAAAEf//4k=")</f>
        <v>#VALUE!</v>
      </c>
      <c r="EI1" t="e">
        <f>AND('Ark1'!C16,"AAAAAEf//4o=")</f>
        <v>#VALUE!</v>
      </c>
      <c r="EJ1" t="e">
        <f>AND('Ark1'!D16,"AAAAAEf//4s=")</f>
        <v>#VALUE!</v>
      </c>
      <c r="EK1" t="e">
        <f>AND('Ark1'!E16,"AAAAAEf//4w=")</f>
        <v>#VALUE!</v>
      </c>
      <c r="EL1" t="e">
        <f>AND('Ark1'!F16,"AAAAAEf//40=")</f>
        <v>#VALUE!</v>
      </c>
      <c r="EM1" t="e">
        <f>AND('Ark1'!G16,"AAAAAEf//44=")</f>
        <v>#VALUE!</v>
      </c>
      <c r="EN1" t="e">
        <f>AND('Ark1'!H16,"AAAAAEf//48=")</f>
        <v>#VALUE!</v>
      </c>
      <c r="EO1">
        <f>IF('Ark1'!17:17,"AAAAAEf//5A=",0)</f>
        <v>0</v>
      </c>
      <c r="EP1" t="e">
        <f>AND('Ark1'!A17,"AAAAAEf//5E=")</f>
        <v>#VALUE!</v>
      </c>
      <c r="EQ1" t="e">
        <f>AND('Ark1'!B17,"AAAAAEf//5I=")</f>
        <v>#VALUE!</v>
      </c>
      <c r="ER1" t="e">
        <f>AND('Ark1'!C17,"AAAAAEf//5M=")</f>
        <v>#VALUE!</v>
      </c>
      <c r="ES1" t="e">
        <f>AND('Ark1'!D17,"AAAAAEf//5Q=")</f>
        <v>#VALUE!</v>
      </c>
      <c r="ET1" t="e">
        <f>AND('Ark1'!E17,"AAAAAEf//5U=")</f>
        <v>#VALUE!</v>
      </c>
      <c r="EU1" t="e">
        <f>AND('Ark1'!F17,"AAAAAEf//5Y=")</f>
        <v>#VALUE!</v>
      </c>
      <c r="EV1" t="e">
        <f>AND('Ark1'!G17,"AAAAAEf//5c=")</f>
        <v>#VALUE!</v>
      </c>
      <c r="EW1" t="e">
        <f>AND('Ark1'!H17,"AAAAAEf//5g=")</f>
        <v>#VALUE!</v>
      </c>
      <c r="EX1">
        <f>IF('Ark1'!18:18,"AAAAAEf//5k=",0)</f>
        <v>0</v>
      </c>
      <c r="EY1" t="e">
        <f>AND('Ark1'!A18,"AAAAAEf//5o=")</f>
        <v>#VALUE!</v>
      </c>
      <c r="EZ1" t="e">
        <f>AND('Ark1'!B18,"AAAAAEf//5s=")</f>
        <v>#VALUE!</v>
      </c>
      <c r="FA1" t="e">
        <f>AND('Ark1'!C18,"AAAAAEf//5w=")</f>
        <v>#VALUE!</v>
      </c>
      <c r="FB1" t="e">
        <f>AND('Ark1'!D18,"AAAAAEf//50=")</f>
        <v>#VALUE!</v>
      </c>
      <c r="FC1" t="e">
        <f>AND('Ark1'!E18,"AAAAAEf//54=")</f>
        <v>#VALUE!</v>
      </c>
      <c r="FD1" t="e">
        <f>AND('Ark1'!F18,"AAAAAEf//58=")</f>
        <v>#VALUE!</v>
      </c>
      <c r="FE1" t="e">
        <f>AND('Ark1'!G18,"AAAAAEf//6A=")</f>
        <v>#VALUE!</v>
      </c>
      <c r="FF1" t="e">
        <f>AND('Ark1'!H18,"AAAAAEf//6E=")</f>
        <v>#VALUE!</v>
      </c>
      <c r="FG1">
        <f>IF('Ark1'!19:19,"AAAAAEf//6I=",0)</f>
        <v>0</v>
      </c>
      <c r="FH1" t="e">
        <f>AND('Ark1'!A19,"AAAAAEf//6M=")</f>
        <v>#VALUE!</v>
      </c>
      <c r="FI1" t="e">
        <f>AND('Ark1'!B19,"AAAAAEf//6Q=")</f>
        <v>#VALUE!</v>
      </c>
      <c r="FJ1" t="e">
        <f>AND('Ark1'!C19,"AAAAAEf//6U=")</f>
        <v>#VALUE!</v>
      </c>
      <c r="FK1" t="e">
        <f>AND('Ark1'!D19,"AAAAAEf//6Y=")</f>
        <v>#VALUE!</v>
      </c>
      <c r="FL1" t="e">
        <f>AND('Ark1'!E19,"AAAAAEf//6c=")</f>
        <v>#VALUE!</v>
      </c>
      <c r="FM1" t="e">
        <f>AND('Ark1'!F19,"AAAAAEf//6g=")</f>
        <v>#VALUE!</v>
      </c>
      <c r="FN1" t="e">
        <f>AND('Ark1'!G19,"AAAAAEf//6k=")</f>
        <v>#VALUE!</v>
      </c>
      <c r="FO1" t="e">
        <f>AND('Ark1'!H19,"AAAAAEf//6o=")</f>
        <v>#VALUE!</v>
      </c>
      <c r="FP1">
        <f>IF('Ark1'!20:20,"AAAAAEf//6s=",0)</f>
        <v>0</v>
      </c>
      <c r="FQ1" t="e">
        <f>AND('Ark1'!A20,"AAAAAEf//6w=")</f>
        <v>#VALUE!</v>
      </c>
      <c r="FR1" t="e">
        <f>AND('Ark1'!B20,"AAAAAEf//60=")</f>
        <v>#VALUE!</v>
      </c>
      <c r="FS1" t="e">
        <f>AND('Ark1'!C20,"AAAAAEf//64=")</f>
        <v>#VALUE!</v>
      </c>
      <c r="FT1" t="e">
        <f>AND('Ark1'!D20,"AAAAAEf//68=")</f>
        <v>#VALUE!</v>
      </c>
      <c r="FU1" t="e">
        <f>AND('Ark1'!E20,"AAAAAEf//7A=")</f>
        <v>#VALUE!</v>
      </c>
      <c r="FV1" t="e">
        <f>AND('Ark1'!F20,"AAAAAEf//7E=")</f>
        <v>#VALUE!</v>
      </c>
      <c r="FW1" t="e">
        <f>AND('Ark1'!G20,"AAAAAEf//7I=")</f>
        <v>#VALUE!</v>
      </c>
      <c r="FX1" t="e">
        <f>AND('Ark1'!H20,"AAAAAEf//7M=")</f>
        <v>#VALUE!</v>
      </c>
      <c r="FY1">
        <f>IF('Ark1'!21:21,"AAAAAEf//7Q=",0)</f>
        <v>0</v>
      </c>
      <c r="FZ1" t="e">
        <f>AND('Ark1'!A21,"AAAAAEf//7U=")</f>
        <v>#VALUE!</v>
      </c>
      <c r="GA1" t="e">
        <f>AND('Ark1'!B21,"AAAAAEf//7Y=")</f>
        <v>#VALUE!</v>
      </c>
      <c r="GB1" t="e">
        <f>AND('Ark1'!C21,"AAAAAEf//7c=")</f>
        <v>#VALUE!</v>
      </c>
      <c r="GC1" t="e">
        <f>AND('Ark1'!D21,"AAAAAEf//7g=")</f>
        <v>#VALUE!</v>
      </c>
      <c r="GD1" t="e">
        <f>AND('Ark1'!E21,"AAAAAEf//7k=")</f>
        <v>#VALUE!</v>
      </c>
      <c r="GE1" t="e">
        <f>AND('Ark1'!F21,"AAAAAEf//7o=")</f>
        <v>#VALUE!</v>
      </c>
      <c r="GF1" t="e">
        <f>AND('Ark1'!G21,"AAAAAEf//7s=")</f>
        <v>#VALUE!</v>
      </c>
      <c r="GG1" t="e">
        <f>AND('Ark1'!H21,"AAAAAEf//7w=")</f>
        <v>#VALUE!</v>
      </c>
      <c r="GH1">
        <f>IF('Ark1'!22:22,"AAAAAEf//70=",0)</f>
        <v>0</v>
      </c>
      <c r="GI1" t="e">
        <f>AND('Ark1'!A22,"AAAAAEf//74=")</f>
        <v>#VALUE!</v>
      </c>
      <c r="GJ1" t="e">
        <f>AND('Ark1'!B22,"AAAAAEf//78=")</f>
        <v>#VALUE!</v>
      </c>
      <c r="GK1" t="e">
        <f>AND('Ark1'!C22,"AAAAAEf//8A=")</f>
        <v>#VALUE!</v>
      </c>
      <c r="GL1" t="e">
        <f>AND('Ark1'!D22,"AAAAAEf//8E=")</f>
        <v>#VALUE!</v>
      </c>
      <c r="GM1" t="e">
        <f>AND('Ark1'!E22,"AAAAAEf//8I=")</f>
        <v>#VALUE!</v>
      </c>
      <c r="GN1" t="e">
        <f>AND('Ark1'!F22,"AAAAAEf//8M=")</f>
        <v>#VALUE!</v>
      </c>
      <c r="GO1" t="e">
        <f>AND('Ark1'!G22,"AAAAAEf//8Q=")</f>
        <v>#VALUE!</v>
      </c>
      <c r="GP1" t="e">
        <f>AND('Ark1'!H22,"AAAAAEf//8U=")</f>
        <v>#VALUE!</v>
      </c>
      <c r="GQ1">
        <f>IF('Ark1'!23:23,"AAAAAEf//8Y=",0)</f>
        <v>0</v>
      </c>
      <c r="GR1" t="e">
        <f>AND('Ark1'!A23,"AAAAAEf//8c=")</f>
        <v>#VALUE!</v>
      </c>
      <c r="GS1" t="e">
        <f>AND('Ark1'!B23,"AAAAAEf//8g=")</f>
        <v>#VALUE!</v>
      </c>
      <c r="GT1" t="e">
        <f>AND('Ark1'!C23,"AAAAAEf//8k=")</f>
        <v>#VALUE!</v>
      </c>
      <c r="GU1" t="e">
        <f>AND('Ark1'!D23,"AAAAAEf//8o=")</f>
        <v>#VALUE!</v>
      </c>
      <c r="GV1" t="e">
        <f>AND('Ark1'!E23,"AAAAAEf//8s=")</f>
        <v>#VALUE!</v>
      </c>
      <c r="GW1" t="e">
        <f>AND('Ark1'!F23,"AAAAAEf//8w=")</f>
        <v>#VALUE!</v>
      </c>
      <c r="GX1" t="e">
        <f>AND('Ark1'!G23,"AAAAAEf//80=")</f>
        <v>#VALUE!</v>
      </c>
      <c r="GY1" t="e">
        <f>AND('Ark1'!H23,"AAAAAEf//84=")</f>
        <v>#VALUE!</v>
      </c>
      <c r="GZ1">
        <f>IF('Ark1'!24:24,"AAAAAEf//88=",0)</f>
        <v>0</v>
      </c>
      <c r="HA1" t="e">
        <f>AND('Ark1'!A24,"AAAAAEf//9A=")</f>
        <v>#VALUE!</v>
      </c>
      <c r="HB1" t="e">
        <f>AND('Ark1'!B24,"AAAAAEf//9E=")</f>
        <v>#VALUE!</v>
      </c>
      <c r="HC1" t="e">
        <f>AND('Ark1'!C24,"AAAAAEf//9I=")</f>
        <v>#VALUE!</v>
      </c>
      <c r="HD1" t="e">
        <f>AND('Ark1'!D24,"AAAAAEf//9M=")</f>
        <v>#VALUE!</v>
      </c>
      <c r="HE1" t="e">
        <f>AND('Ark1'!E24,"AAAAAEf//9Q=")</f>
        <v>#VALUE!</v>
      </c>
      <c r="HF1" t="e">
        <f>AND('Ark1'!F24,"AAAAAEf//9U=")</f>
        <v>#VALUE!</v>
      </c>
      <c r="HG1" t="e">
        <f>AND('Ark1'!G24,"AAAAAEf//9Y=")</f>
        <v>#VALUE!</v>
      </c>
      <c r="HH1" t="e">
        <f>AND('Ark1'!H24,"AAAAAEf//9c=")</f>
        <v>#VALUE!</v>
      </c>
      <c r="HI1">
        <f>IF('Ark1'!25:25,"AAAAAEf//9g=",0)</f>
        <v>0</v>
      </c>
      <c r="HJ1" t="e">
        <f>AND('Ark1'!A25,"AAAAAEf//9k=")</f>
        <v>#VALUE!</v>
      </c>
      <c r="HK1" t="e">
        <f>AND('Ark1'!B25,"AAAAAEf//9o=")</f>
        <v>#VALUE!</v>
      </c>
      <c r="HL1" t="e">
        <f>AND('Ark1'!C25,"AAAAAEf//9s=")</f>
        <v>#VALUE!</v>
      </c>
      <c r="HM1" t="e">
        <f>AND('Ark1'!D25,"AAAAAEf//9w=")</f>
        <v>#VALUE!</v>
      </c>
      <c r="HN1" t="e">
        <f>AND('Ark1'!E25,"AAAAAEf//90=")</f>
        <v>#VALUE!</v>
      </c>
      <c r="HO1" t="e">
        <f>AND('Ark1'!F25,"AAAAAEf//94=")</f>
        <v>#VALUE!</v>
      </c>
      <c r="HP1" t="e">
        <f>AND('Ark1'!G25,"AAAAAEf//98=")</f>
        <v>#VALUE!</v>
      </c>
      <c r="HQ1" t="e">
        <f>AND('Ark1'!H25,"AAAAAEf//+A=")</f>
        <v>#VALUE!</v>
      </c>
      <c r="HR1">
        <f>IF('Ark1'!26:26,"AAAAAEf//+E=",0)</f>
        <v>0</v>
      </c>
      <c r="HS1" t="e">
        <f>AND('Ark1'!A26,"AAAAAEf//+I=")</f>
        <v>#VALUE!</v>
      </c>
      <c r="HT1" t="e">
        <f>AND('Ark1'!B26,"AAAAAEf//+M=")</f>
        <v>#VALUE!</v>
      </c>
      <c r="HU1" t="e">
        <f>AND('Ark1'!C26,"AAAAAEf//+Q=")</f>
        <v>#VALUE!</v>
      </c>
      <c r="HV1" t="e">
        <f>AND('Ark1'!D26,"AAAAAEf//+U=")</f>
        <v>#VALUE!</v>
      </c>
      <c r="HW1" t="e">
        <f>AND('Ark1'!E26,"AAAAAEf//+Y=")</f>
        <v>#VALUE!</v>
      </c>
      <c r="HX1" t="e">
        <f>AND('Ark1'!F26,"AAAAAEf//+c=")</f>
        <v>#VALUE!</v>
      </c>
      <c r="HY1" t="e">
        <f>AND('Ark1'!G26,"AAAAAEf//+g=")</f>
        <v>#VALUE!</v>
      </c>
      <c r="HZ1" t="e">
        <f>AND('Ark1'!H26,"AAAAAEf//+k=")</f>
        <v>#VALUE!</v>
      </c>
      <c r="IA1">
        <f>IF('Ark1'!27:27,"AAAAAEf//+o=",0)</f>
        <v>0</v>
      </c>
      <c r="IB1" t="e">
        <f>AND('Ark1'!A27,"AAAAAEf//+s=")</f>
        <v>#VALUE!</v>
      </c>
      <c r="IC1" t="e">
        <f>AND('Ark1'!B27,"AAAAAEf//+w=")</f>
        <v>#VALUE!</v>
      </c>
      <c r="ID1" t="e">
        <f>AND('Ark1'!C27,"AAAAAEf//+0=")</f>
        <v>#VALUE!</v>
      </c>
      <c r="IE1" t="e">
        <f>AND('Ark1'!D27,"AAAAAEf//+4=")</f>
        <v>#VALUE!</v>
      </c>
      <c r="IF1" t="e">
        <f>AND('Ark1'!E27,"AAAAAEf//+8=")</f>
        <v>#VALUE!</v>
      </c>
      <c r="IG1" t="e">
        <f>AND('Ark1'!F27,"AAAAAEf///A=")</f>
        <v>#VALUE!</v>
      </c>
      <c r="IH1" t="e">
        <f>AND('Ark1'!G27,"AAAAAEf///E=")</f>
        <v>#VALUE!</v>
      </c>
      <c r="II1" t="e">
        <f>AND('Ark1'!H27,"AAAAAEf///I=")</f>
        <v>#VALUE!</v>
      </c>
      <c r="IJ1">
        <f>IF('Ark1'!28:28,"AAAAAEf///M=",0)</f>
        <v>0</v>
      </c>
      <c r="IK1" t="e">
        <f>AND('Ark1'!A28,"AAAAAEf///Q=")</f>
        <v>#VALUE!</v>
      </c>
      <c r="IL1" t="e">
        <f>AND('Ark1'!B28,"AAAAAEf///U=")</f>
        <v>#VALUE!</v>
      </c>
      <c r="IM1" t="e">
        <f>AND('Ark1'!C28,"AAAAAEf///Y=")</f>
        <v>#VALUE!</v>
      </c>
      <c r="IN1" t="e">
        <f>AND('Ark1'!D28,"AAAAAEf///c=")</f>
        <v>#VALUE!</v>
      </c>
      <c r="IO1" t="e">
        <f>AND('Ark1'!E28,"AAAAAEf///g=")</f>
        <v>#VALUE!</v>
      </c>
      <c r="IP1" t="e">
        <f>AND('Ark1'!F28,"AAAAAEf///k=")</f>
        <v>#VALUE!</v>
      </c>
      <c r="IQ1" t="e">
        <f>AND('Ark1'!G28,"AAAAAEf///o=")</f>
        <v>#VALUE!</v>
      </c>
      <c r="IR1" t="e">
        <f>AND('Ark1'!H28,"AAAAAEf///s=")</f>
        <v>#VALUE!</v>
      </c>
      <c r="IS1">
        <f>IF('Ark1'!29:29,"AAAAAEf///w=",0)</f>
        <v>0</v>
      </c>
      <c r="IT1" t="e">
        <f>AND('Ark1'!A29,"AAAAAEf///0=")</f>
        <v>#VALUE!</v>
      </c>
      <c r="IU1" t="e">
        <f>AND('Ark1'!B29,"AAAAAEf///4=")</f>
        <v>#VALUE!</v>
      </c>
      <c r="IV1" t="e">
        <f>AND('Ark1'!C29,"AAAAAEf///8=")</f>
        <v>#VALUE!</v>
      </c>
    </row>
    <row r="2" spans="1:256" x14ac:dyDescent="0.25">
      <c r="A2" t="e">
        <f>AND('Ark1'!D29,"AAAAAH7/IQA=")</f>
        <v>#VALUE!</v>
      </c>
      <c r="B2" t="e">
        <f>AND('Ark1'!E29,"AAAAAH7/IQE=")</f>
        <v>#VALUE!</v>
      </c>
      <c r="C2" t="e">
        <f>AND('Ark1'!F29,"AAAAAH7/IQI=")</f>
        <v>#VALUE!</v>
      </c>
      <c r="D2" t="e">
        <f>AND('Ark1'!G29,"AAAAAH7/IQM=")</f>
        <v>#VALUE!</v>
      </c>
      <c r="E2" t="e">
        <f>AND('Ark1'!H29,"AAAAAH7/IQQ=")</f>
        <v>#VALUE!</v>
      </c>
      <c r="F2">
        <f>IF('Ark1'!30:30,"AAAAAH7/IQU=",0)</f>
        <v>0</v>
      </c>
      <c r="G2" t="e">
        <f>AND('Ark1'!A30,"AAAAAH7/IQY=")</f>
        <v>#VALUE!</v>
      </c>
      <c r="H2" t="e">
        <f>AND('Ark1'!B30,"AAAAAH7/IQc=")</f>
        <v>#VALUE!</v>
      </c>
      <c r="I2" t="e">
        <f>AND('Ark1'!C30,"AAAAAH7/IQg=")</f>
        <v>#VALUE!</v>
      </c>
      <c r="J2" t="e">
        <f>AND('Ark1'!D30,"AAAAAH7/IQk=")</f>
        <v>#VALUE!</v>
      </c>
      <c r="K2" t="e">
        <f>AND('Ark1'!E30,"AAAAAH7/IQo=")</f>
        <v>#VALUE!</v>
      </c>
      <c r="L2" t="e">
        <f>AND('Ark1'!F30,"AAAAAH7/IQs=")</f>
        <v>#VALUE!</v>
      </c>
      <c r="M2" t="e">
        <f>AND('Ark1'!G30,"AAAAAH7/IQw=")</f>
        <v>#VALUE!</v>
      </c>
      <c r="N2" t="e">
        <f>AND('Ark1'!H30,"AAAAAH7/IQ0=")</f>
        <v>#VALUE!</v>
      </c>
      <c r="O2">
        <f>IF('Ark1'!31:31,"AAAAAH7/IQ4=",0)</f>
        <v>0</v>
      </c>
      <c r="P2" t="e">
        <f>AND('Ark1'!A31,"AAAAAH7/IQ8=")</f>
        <v>#VALUE!</v>
      </c>
      <c r="Q2" t="e">
        <f>AND('Ark1'!B31,"AAAAAH7/IRA=")</f>
        <v>#VALUE!</v>
      </c>
      <c r="R2" t="e">
        <f>AND('Ark1'!C31,"AAAAAH7/IRE=")</f>
        <v>#VALUE!</v>
      </c>
      <c r="S2" t="e">
        <f>AND('Ark1'!D31,"AAAAAH7/IRI=")</f>
        <v>#VALUE!</v>
      </c>
      <c r="T2" t="e">
        <f>AND('Ark1'!E31,"AAAAAH7/IRM=")</f>
        <v>#VALUE!</v>
      </c>
      <c r="U2" t="e">
        <f>AND('Ark1'!F31,"AAAAAH7/IRQ=")</f>
        <v>#VALUE!</v>
      </c>
      <c r="V2" t="e">
        <f>AND('Ark1'!G31,"AAAAAH7/IRU=")</f>
        <v>#VALUE!</v>
      </c>
      <c r="W2" t="e">
        <f>AND('Ark1'!H31,"AAAAAH7/IRY=")</f>
        <v>#VALUE!</v>
      </c>
      <c r="X2">
        <f>IF('Ark1'!32:32,"AAAAAH7/IRc=",0)</f>
        <v>0</v>
      </c>
      <c r="Y2" t="e">
        <f>AND('Ark1'!A32,"AAAAAH7/IRg=")</f>
        <v>#VALUE!</v>
      </c>
      <c r="Z2" t="e">
        <f>AND('Ark1'!B32,"AAAAAH7/IRk=")</f>
        <v>#VALUE!</v>
      </c>
      <c r="AA2" t="e">
        <f>AND('Ark1'!C32,"AAAAAH7/IRo=")</f>
        <v>#VALUE!</v>
      </c>
      <c r="AB2" t="e">
        <f>AND('Ark1'!D32,"AAAAAH7/IRs=")</f>
        <v>#VALUE!</v>
      </c>
      <c r="AC2" t="e">
        <f>AND('Ark1'!E32,"AAAAAH7/IRw=")</f>
        <v>#VALUE!</v>
      </c>
      <c r="AD2" t="e">
        <f>AND('Ark1'!F32,"AAAAAH7/IR0=")</f>
        <v>#VALUE!</v>
      </c>
      <c r="AE2" t="e">
        <f>AND('Ark1'!G32,"AAAAAH7/IR4=")</f>
        <v>#VALUE!</v>
      </c>
      <c r="AF2" t="e">
        <f>AND('Ark1'!H32,"AAAAAH7/IR8=")</f>
        <v>#VALUE!</v>
      </c>
      <c r="AG2">
        <f>IF('Ark1'!33:33,"AAAAAH7/ISA=",0)</f>
        <v>0</v>
      </c>
      <c r="AH2" t="e">
        <f>AND('Ark1'!A33,"AAAAAH7/ISE=")</f>
        <v>#VALUE!</v>
      </c>
      <c r="AI2" t="e">
        <f>AND('Ark1'!B33,"AAAAAH7/ISI=")</f>
        <v>#VALUE!</v>
      </c>
      <c r="AJ2" t="e">
        <f>AND('Ark1'!C33,"AAAAAH7/ISM=")</f>
        <v>#VALUE!</v>
      </c>
      <c r="AK2" t="e">
        <f>AND('Ark1'!D33,"AAAAAH7/ISQ=")</f>
        <v>#VALUE!</v>
      </c>
      <c r="AL2" t="e">
        <f>AND('Ark1'!E33,"AAAAAH7/ISU=")</f>
        <v>#VALUE!</v>
      </c>
      <c r="AM2" t="e">
        <f>AND('Ark1'!F33,"AAAAAH7/ISY=")</f>
        <v>#VALUE!</v>
      </c>
      <c r="AN2" t="e">
        <f>AND('Ark1'!G33,"AAAAAH7/ISc=")</f>
        <v>#VALUE!</v>
      </c>
      <c r="AO2" t="e">
        <f>AND('Ark1'!H33,"AAAAAH7/ISg=")</f>
        <v>#VALUE!</v>
      </c>
      <c r="AP2">
        <f>IF('Ark1'!34:34,"AAAAAH7/ISk=",0)</f>
        <v>0</v>
      </c>
      <c r="AQ2" t="e">
        <f>AND('Ark1'!A34,"AAAAAH7/ISo=")</f>
        <v>#VALUE!</v>
      </c>
      <c r="AR2" t="e">
        <f>AND('Ark1'!B34,"AAAAAH7/ISs=")</f>
        <v>#VALUE!</v>
      </c>
      <c r="AS2" t="e">
        <f>AND('Ark1'!C34,"AAAAAH7/ISw=")</f>
        <v>#VALUE!</v>
      </c>
      <c r="AT2" t="e">
        <f>AND('Ark1'!D34,"AAAAAH7/IS0=")</f>
        <v>#VALUE!</v>
      </c>
      <c r="AU2" t="e">
        <f>AND('Ark1'!E34,"AAAAAH7/IS4=")</f>
        <v>#VALUE!</v>
      </c>
      <c r="AV2" t="e">
        <f>AND('Ark1'!F34,"AAAAAH7/IS8=")</f>
        <v>#VALUE!</v>
      </c>
      <c r="AW2" t="e">
        <f>AND('Ark1'!G34,"AAAAAH7/ITA=")</f>
        <v>#VALUE!</v>
      </c>
      <c r="AX2" t="e">
        <f>AND('Ark1'!H34,"AAAAAH7/ITE=")</f>
        <v>#VALUE!</v>
      </c>
      <c r="AY2">
        <f>IF('Ark1'!35:35,"AAAAAH7/ITI=",0)</f>
        <v>0</v>
      </c>
      <c r="AZ2" t="e">
        <f>AND('Ark1'!A35,"AAAAAH7/ITM=")</f>
        <v>#VALUE!</v>
      </c>
      <c r="BA2" t="e">
        <f>AND('Ark1'!B35,"AAAAAH7/ITQ=")</f>
        <v>#VALUE!</v>
      </c>
      <c r="BB2" t="e">
        <f>AND('Ark1'!C35,"AAAAAH7/ITU=")</f>
        <v>#VALUE!</v>
      </c>
      <c r="BC2" t="e">
        <f>AND('Ark1'!D35,"AAAAAH7/ITY=")</f>
        <v>#VALUE!</v>
      </c>
      <c r="BD2" t="e">
        <f>AND('Ark1'!E35,"AAAAAH7/ITc=")</f>
        <v>#VALUE!</v>
      </c>
      <c r="BE2" t="e">
        <f>AND('Ark1'!F35,"AAAAAH7/ITg=")</f>
        <v>#VALUE!</v>
      </c>
      <c r="BF2" t="e">
        <f>AND('Ark1'!G35,"AAAAAH7/ITk=")</f>
        <v>#VALUE!</v>
      </c>
      <c r="BG2" t="e">
        <f>AND('Ark1'!H35,"AAAAAH7/ITo=")</f>
        <v>#VALUE!</v>
      </c>
      <c r="BH2">
        <f>IF('Ark1'!36:36,"AAAAAH7/ITs=",0)</f>
        <v>0</v>
      </c>
      <c r="BI2" t="e">
        <f>AND('Ark1'!A36,"AAAAAH7/ITw=")</f>
        <v>#VALUE!</v>
      </c>
      <c r="BJ2" t="e">
        <f>AND('Ark1'!B36,"AAAAAH7/IT0=")</f>
        <v>#VALUE!</v>
      </c>
      <c r="BK2" t="e">
        <f>AND('Ark1'!C36,"AAAAAH7/IT4=")</f>
        <v>#VALUE!</v>
      </c>
      <c r="BL2" t="e">
        <f>AND('Ark1'!D36,"AAAAAH7/IT8=")</f>
        <v>#VALUE!</v>
      </c>
      <c r="BM2" t="e">
        <f>AND('Ark1'!E36,"AAAAAH7/IUA=")</f>
        <v>#VALUE!</v>
      </c>
      <c r="BN2" t="e">
        <f>AND('Ark1'!F36,"AAAAAH7/IUE=")</f>
        <v>#VALUE!</v>
      </c>
      <c r="BO2" t="e">
        <f>AND('Ark1'!G36,"AAAAAH7/IUI=")</f>
        <v>#VALUE!</v>
      </c>
      <c r="BP2" t="e">
        <f>AND('Ark1'!H36,"AAAAAH7/IUM=")</f>
        <v>#VALUE!</v>
      </c>
      <c r="BQ2">
        <f>IF('Ark1'!37:37,"AAAAAH7/IUQ=",0)</f>
        <v>0</v>
      </c>
      <c r="BR2" t="e">
        <f>AND('Ark1'!A37,"AAAAAH7/IUU=")</f>
        <v>#VALUE!</v>
      </c>
      <c r="BS2" t="e">
        <f>AND('Ark1'!B37,"AAAAAH7/IUY=")</f>
        <v>#VALUE!</v>
      </c>
      <c r="BT2" t="e">
        <f>AND('Ark1'!C37,"AAAAAH7/IUc=")</f>
        <v>#VALUE!</v>
      </c>
      <c r="BU2" t="e">
        <f>AND('Ark1'!D37,"AAAAAH7/IUg=")</f>
        <v>#VALUE!</v>
      </c>
      <c r="BV2" t="e">
        <f>AND('Ark1'!E37,"AAAAAH7/IUk=")</f>
        <v>#VALUE!</v>
      </c>
      <c r="BW2" t="e">
        <f>AND('Ark1'!F37,"AAAAAH7/IUo=")</f>
        <v>#VALUE!</v>
      </c>
      <c r="BX2" t="e">
        <f>AND('Ark1'!G37,"AAAAAH7/IUs=")</f>
        <v>#VALUE!</v>
      </c>
      <c r="BY2" t="e">
        <f>AND('Ark1'!H37,"AAAAAH7/IUw=")</f>
        <v>#VALUE!</v>
      </c>
      <c r="BZ2">
        <f>IF('Ark1'!38:38,"AAAAAH7/IU0=",0)</f>
        <v>0</v>
      </c>
      <c r="CA2" t="e">
        <f>AND('Ark1'!A38,"AAAAAH7/IU4=")</f>
        <v>#VALUE!</v>
      </c>
      <c r="CB2" t="e">
        <f>AND('Ark1'!B38,"AAAAAH7/IU8=")</f>
        <v>#VALUE!</v>
      </c>
      <c r="CC2" t="e">
        <f>AND('Ark1'!C38,"AAAAAH7/IVA=")</f>
        <v>#VALUE!</v>
      </c>
      <c r="CD2" t="e">
        <f>AND('Ark1'!D38,"AAAAAH7/IVE=")</f>
        <v>#VALUE!</v>
      </c>
      <c r="CE2" t="e">
        <f>AND('Ark1'!E38,"AAAAAH7/IVI=")</f>
        <v>#VALUE!</v>
      </c>
      <c r="CF2" t="e">
        <f>AND('Ark1'!F38,"AAAAAH7/IVM=")</f>
        <v>#VALUE!</v>
      </c>
      <c r="CG2" t="e">
        <f>AND('Ark1'!G38,"AAAAAH7/IVQ=")</f>
        <v>#VALUE!</v>
      </c>
      <c r="CH2" t="e">
        <f>AND('Ark1'!H38,"AAAAAH7/IVU=")</f>
        <v>#VALUE!</v>
      </c>
      <c r="CI2">
        <f>IF('Ark1'!39:39,"AAAAAH7/IVY=",0)</f>
        <v>0</v>
      </c>
      <c r="CJ2" t="e">
        <f>AND('Ark1'!A39,"AAAAAH7/IVc=")</f>
        <v>#VALUE!</v>
      </c>
      <c r="CK2" t="e">
        <f>AND('Ark1'!B39,"AAAAAH7/IVg=")</f>
        <v>#VALUE!</v>
      </c>
      <c r="CL2" t="e">
        <f>AND('Ark1'!C39,"AAAAAH7/IVk=")</f>
        <v>#VALUE!</v>
      </c>
      <c r="CM2" t="e">
        <f>AND('Ark1'!D39,"AAAAAH7/IVo=")</f>
        <v>#VALUE!</v>
      </c>
      <c r="CN2" t="e">
        <f>AND('Ark1'!E39,"AAAAAH7/IVs=")</f>
        <v>#VALUE!</v>
      </c>
      <c r="CO2" t="e">
        <f>AND('Ark1'!F39,"AAAAAH7/IVw=")</f>
        <v>#VALUE!</v>
      </c>
      <c r="CP2" t="e">
        <f>AND('Ark1'!G39,"AAAAAH7/IV0=")</f>
        <v>#VALUE!</v>
      </c>
      <c r="CQ2" t="e">
        <f>AND('Ark1'!H39,"AAAAAH7/IV4=")</f>
        <v>#VALUE!</v>
      </c>
      <c r="CR2">
        <f>IF('Ark1'!40:40,"AAAAAH7/IV8=",0)</f>
        <v>0</v>
      </c>
      <c r="CS2" t="e">
        <f>AND('Ark1'!A40,"AAAAAH7/IWA=")</f>
        <v>#VALUE!</v>
      </c>
      <c r="CT2" t="e">
        <f>AND('Ark1'!B40,"AAAAAH7/IWE=")</f>
        <v>#VALUE!</v>
      </c>
      <c r="CU2" t="e">
        <f>AND('Ark1'!C40,"AAAAAH7/IWI=")</f>
        <v>#VALUE!</v>
      </c>
      <c r="CV2" t="e">
        <f>AND('Ark1'!D40,"AAAAAH7/IWM=")</f>
        <v>#VALUE!</v>
      </c>
      <c r="CW2" t="e">
        <f>AND('Ark1'!E40,"AAAAAH7/IWQ=")</f>
        <v>#VALUE!</v>
      </c>
      <c r="CX2" t="e">
        <f>AND('Ark1'!F40,"AAAAAH7/IWU=")</f>
        <v>#VALUE!</v>
      </c>
      <c r="CY2" t="e">
        <f>AND('Ark1'!G40,"AAAAAH7/IWY=")</f>
        <v>#VALUE!</v>
      </c>
      <c r="CZ2" t="e">
        <f>AND('Ark1'!H40,"AAAAAH7/IWc=")</f>
        <v>#VALUE!</v>
      </c>
      <c r="DA2">
        <f>IF('Ark1'!41:41,"AAAAAH7/IWg=",0)</f>
        <v>0</v>
      </c>
      <c r="DB2" t="e">
        <f>AND('Ark1'!A41,"AAAAAH7/IWk=")</f>
        <v>#VALUE!</v>
      </c>
      <c r="DC2" t="e">
        <f>AND('Ark1'!B41,"AAAAAH7/IWo=")</f>
        <v>#VALUE!</v>
      </c>
      <c r="DD2" t="e">
        <f>AND('Ark1'!C41,"AAAAAH7/IWs=")</f>
        <v>#VALUE!</v>
      </c>
      <c r="DE2" t="e">
        <f>AND('Ark1'!D41,"AAAAAH7/IWw=")</f>
        <v>#VALUE!</v>
      </c>
      <c r="DF2" t="e">
        <f>AND('Ark1'!E41,"AAAAAH7/IW0=")</f>
        <v>#VALUE!</v>
      </c>
      <c r="DG2" t="e">
        <f>AND('Ark1'!F41,"AAAAAH7/IW4=")</f>
        <v>#VALUE!</v>
      </c>
      <c r="DH2" t="e">
        <f>AND('Ark1'!G41,"AAAAAH7/IW8=")</f>
        <v>#VALUE!</v>
      </c>
      <c r="DI2" t="e">
        <f>AND('Ark1'!H41,"AAAAAH7/IXA=")</f>
        <v>#VALUE!</v>
      </c>
      <c r="DJ2">
        <f>IF('Ark1'!42:42,"AAAAAH7/IXE=",0)</f>
        <v>0</v>
      </c>
      <c r="DK2" t="e">
        <f>AND('Ark1'!A42,"AAAAAH7/IXI=")</f>
        <v>#VALUE!</v>
      </c>
      <c r="DL2" t="e">
        <f>AND('Ark1'!B42,"AAAAAH7/IXM=")</f>
        <v>#VALUE!</v>
      </c>
      <c r="DM2" t="e">
        <f>AND('Ark1'!C42,"AAAAAH7/IXQ=")</f>
        <v>#VALUE!</v>
      </c>
      <c r="DN2" t="e">
        <f>AND('Ark1'!D42,"AAAAAH7/IXU=")</f>
        <v>#VALUE!</v>
      </c>
      <c r="DO2" t="e">
        <f>AND('Ark1'!E42,"AAAAAH7/IXY=")</f>
        <v>#VALUE!</v>
      </c>
      <c r="DP2" t="e">
        <f>AND('Ark1'!F42,"AAAAAH7/IXc=")</f>
        <v>#VALUE!</v>
      </c>
      <c r="DQ2" t="e">
        <f>AND('Ark1'!G42,"AAAAAH7/IXg=")</f>
        <v>#VALUE!</v>
      </c>
      <c r="DR2" t="e">
        <f>AND('Ark1'!H42,"AAAAAH7/IXk=")</f>
        <v>#VALUE!</v>
      </c>
      <c r="DS2">
        <f>IF('Ark1'!43:43,"AAAAAH7/IXo=",0)</f>
        <v>0</v>
      </c>
      <c r="DT2" t="e">
        <f>AND('Ark1'!A43,"AAAAAH7/IXs=")</f>
        <v>#VALUE!</v>
      </c>
      <c r="DU2" t="e">
        <f>AND('Ark1'!B43,"AAAAAH7/IXw=")</f>
        <v>#VALUE!</v>
      </c>
      <c r="DV2" t="e">
        <f>AND('Ark1'!C43,"AAAAAH7/IX0=")</f>
        <v>#VALUE!</v>
      </c>
      <c r="DW2" t="e">
        <f>AND('Ark1'!D43,"AAAAAH7/IX4=")</f>
        <v>#VALUE!</v>
      </c>
      <c r="DX2" t="e">
        <f>AND('Ark1'!E43,"AAAAAH7/IX8=")</f>
        <v>#VALUE!</v>
      </c>
      <c r="DY2" t="e">
        <f>AND('Ark1'!F43,"AAAAAH7/IYA=")</f>
        <v>#VALUE!</v>
      </c>
      <c r="DZ2" t="e">
        <f>AND('Ark1'!G43,"AAAAAH7/IYE=")</f>
        <v>#VALUE!</v>
      </c>
      <c r="EA2" t="e">
        <f>AND('Ark1'!H43,"AAAAAH7/IYI=")</f>
        <v>#VALUE!</v>
      </c>
      <c r="EB2">
        <f>IF('Ark1'!44:44,"AAAAAH7/IYM=",0)</f>
        <v>0</v>
      </c>
      <c r="EC2" t="e">
        <f>AND('Ark1'!A44,"AAAAAH7/IYQ=")</f>
        <v>#VALUE!</v>
      </c>
      <c r="ED2" t="e">
        <f>AND('Ark1'!B44,"AAAAAH7/IYU=")</f>
        <v>#VALUE!</v>
      </c>
      <c r="EE2" t="e">
        <f>AND('Ark1'!C44,"AAAAAH7/IYY=")</f>
        <v>#VALUE!</v>
      </c>
      <c r="EF2" t="e">
        <f>AND('Ark1'!D44,"AAAAAH7/IYc=")</f>
        <v>#VALUE!</v>
      </c>
      <c r="EG2" t="e">
        <f>AND('Ark1'!E44,"AAAAAH7/IYg=")</f>
        <v>#VALUE!</v>
      </c>
      <c r="EH2" t="e">
        <f>AND('Ark1'!F44,"AAAAAH7/IYk=")</f>
        <v>#VALUE!</v>
      </c>
      <c r="EI2" t="e">
        <f>AND('Ark1'!G44,"AAAAAH7/IYo=")</f>
        <v>#VALUE!</v>
      </c>
      <c r="EJ2" t="e">
        <f>AND('Ark1'!H44,"AAAAAH7/IYs=")</f>
        <v>#VALUE!</v>
      </c>
      <c r="EK2">
        <f>IF('Ark1'!45:45,"AAAAAH7/IYw=",0)</f>
        <v>0</v>
      </c>
      <c r="EL2" t="e">
        <f>AND('Ark1'!A45,"AAAAAH7/IY0=")</f>
        <v>#VALUE!</v>
      </c>
      <c r="EM2" t="e">
        <f>AND('Ark1'!B45,"AAAAAH7/IY4=")</f>
        <v>#VALUE!</v>
      </c>
      <c r="EN2" t="e">
        <f>AND('Ark1'!C45,"AAAAAH7/IY8=")</f>
        <v>#VALUE!</v>
      </c>
      <c r="EO2" t="e">
        <f>AND('Ark1'!D45,"AAAAAH7/IZA=")</f>
        <v>#VALUE!</v>
      </c>
      <c r="EP2" t="e">
        <f>AND('Ark1'!E45,"AAAAAH7/IZE=")</f>
        <v>#VALUE!</v>
      </c>
      <c r="EQ2" t="e">
        <f>AND('Ark1'!F45,"AAAAAH7/IZI=")</f>
        <v>#VALUE!</v>
      </c>
      <c r="ER2" t="e">
        <f>AND('Ark1'!G45,"AAAAAH7/IZM=")</f>
        <v>#VALUE!</v>
      </c>
      <c r="ES2" t="e">
        <f>AND('Ark1'!H45,"AAAAAH7/IZQ=")</f>
        <v>#VALUE!</v>
      </c>
      <c r="ET2">
        <f>IF('Ark1'!46:46,"AAAAAH7/IZU=",0)</f>
        <v>0</v>
      </c>
      <c r="EU2" t="e">
        <f>AND('Ark1'!A46,"AAAAAH7/IZY=")</f>
        <v>#VALUE!</v>
      </c>
      <c r="EV2" t="e">
        <f>AND('Ark1'!B46,"AAAAAH7/IZc=")</f>
        <v>#VALUE!</v>
      </c>
      <c r="EW2" t="e">
        <f>AND('Ark1'!C46,"AAAAAH7/IZg=")</f>
        <v>#VALUE!</v>
      </c>
      <c r="EX2" t="e">
        <f>AND('Ark1'!D46,"AAAAAH7/IZk=")</f>
        <v>#VALUE!</v>
      </c>
      <c r="EY2" t="e">
        <f>AND('Ark1'!E46,"AAAAAH7/IZo=")</f>
        <v>#VALUE!</v>
      </c>
      <c r="EZ2" t="e">
        <f>AND('Ark1'!F46,"AAAAAH7/IZs=")</f>
        <v>#VALUE!</v>
      </c>
      <c r="FA2" t="e">
        <f>AND('Ark1'!G46,"AAAAAH7/IZw=")</f>
        <v>#VALUE!</v>
      </c>
      <c r="FB2" t="e">
        <f>AND('Ark1'!H46,"AAAAAH7/IZ0=")</f>
        <v>#VALUE!</v>
      </c>
      <c r="FC2">
        <f>IF('Ark1'!47:47,"AAAAAH7/IZ4=",0)</f>
        <v>0</v>
      </c>
      <c r="FD2" t="e">
        <f>AND('Ark1'!A47,"AAAAAH7/IZ8=")</f>
        <v>#VALUE!</v>
      </c>
      <c r="FE2" t="e">
        <f>AND('Ark1'!B47,"AAAAAH7/IaA=")</f>
        <v>#VALUE!</v>
      </c>
      <c r="FF2" t="e">
        <f>AND('Ark1'!C47,"AAAAAH7/IaE=")</f>
        <v>#VALUE!</v>
      </c>
      <c r="FG2" t="e">
        <f>AND('Ark1'!D47,"AAAAAH7/IaI=")</f>
        <v>#VALUE!</v>
      </c>
      <c r="FH2" t="e">
        <f>AND('Ark1'!E47,"AAAAAH7/IaM=")</f>
        <v>#VALUE!</v>
      </c>
      <c r="FI2" t="e">
        <f>AND('Ark1'!F47,"AAAAAH7/IaQ=")</f>
        <v>#VALUE!</v>
      </c>
      <c r="FJ2" t="e">
        <f>AND('Ark1'!G47,"AAAAAH7/IaU=")</f>
        <v>#VALUE!</v>
      </c>
      <c r="FK2" t="e">
        <f>AND('Ark1'!H47,"AAAAAH7/IaY=")</f>
        <v>#VALUE!</v>
      </c>
      <c r="FL2">
        <f>IF('Ark1'!48:48,"AAAAAH7/Iac=",0)</f>
        <v>0</v>
      </c>
      <c r="FM2" t="e">
        <f>AND('Ark1'!A48,"AAAAAH7/Iag=")</f>
        <v>#VALUE!</v>
      </c>
      <c r="FN2" t="e">
        <f>AND('Ark1'!B48,"AAAAAH7/Iak=")</f>
        <v>#VALUE!</v>
      </c>
      <c r="FO2" t="e">
        <f>AND('Ark1'!C48,"AAAAAH7/Iao=")</f>
        <v>#VALUE!</v>
      </c>
      <c r="FP2" t="e">
        <f>AND('Ark1'!D48,"AAAAAH7/Ias=")</f>
        <v>#VALUE!</v>
      </c>
      <c r="FQ2" t="e">
        <f>AND('Ark1'!E48,"AAAAAH7/Iaw=")</f>
        <v>#VALUE!</v>
      </c>
      <c r="FR2" t="e">
        <f>AND('Ark1'!F48,"AAAAAH7/Ia0=")</f>
        <v>#VALUE!</v>
      </c>
      <c r="FS2" t="e">
        <f>AND('Ark1'!G48,"AAAAAH7/Ia4=")</f>
        <v>#VALUE!</v>
      </c>
      <c r="FT2" t="e">
        <f>AND('Ark1'!H48,"AAAAAH7/Ia8=")</f>
        <v>#VALUE!</v>
      </c>
      <c r="FU2">
        <f>IF('Ark1'!49:49,"AAAAAH7/IbA=",0)</f>
        <v>0</v>
      </c>
      <c r="FV2" t="e">
        <f>AND('Ark1'!A49,"AAAAAH7/IbE=")</f>
        <v>#VALUE!</v>
      </c>
      <c r="FW2" t="e">
        <f>AND('Ark1'!B49,"AAAAAH7/IbI=")</f>
        <v>#VALUE!</v>
      </c>
      <c r="FX2" t="e">
        <f>AND('Ark1'!C49,"AAAAAH7/IbM=")</f>
        <v>#VALUE!</v>
      </c>
      <c r="FY2" t="e">
        <f>AND('Ark1'!D49,"AAAAAH7/IbQ=")</f>
        <v>#VALUE!</v>
      </c>
      <c r="FZ2" t="e">
        <f>AND('Ark1'!E49,"AAAAAH7/IbU=")</f>
        <v>#VALUE!</v>
      </c>
      <c r="GA2" t="e">
        <f>AND('Ark1'!F49,"AAAAAH7/IbY=")</f>
        <v>#VALUE!</v>
      </c>
      <c r="GB2" t="e">
        <f>AND('Ark1'!G49,"AAAAAH7/Ibc=")</f>
        <v>#VALUE!</v>
      </c>
      <c r="GC2" t="e">
        <f>AND('Ark1'!H49,"AAAAAH7/Ibg=")</f>
        <v>#VALUE!</v>
      </c>
      <c r="GD2">
        <f>IF('Ark1'!50:50,"AAAAAH7/Ibk=",0)</f>
        <v>0</v>
      </c>
      <c r="GE2" t="e">
        <f>AND('Ark1'!A50,"AAAAAH7/Ibo=")</f>
        <v>#VALUE!</v>
      </c>
      <c r="GF2" t="e">
        <f>AND('Ark1'!B50,"AAAAAH7/Ibs=")</f>
        <v>#VALUE!</v>
      </c>
      <c r="GG2" t="e">
        <f>AND('Ark1'!C50,"AAAAAH7/Ibw=")</f>
        <v>#VALUE!</v>
      </c>
      <c r="GH2" t="e">
        <f>AND('Ark1'!D50,"AAAAAH7/Ib0=")</f>
        <v>#VALUE!</v>
      </c>
      <c r="GI2" t="e">
        <f>AND('Ark1'!E50,"AAAAAH7/Ib4=")</f>
        <v>#VALUE!</v>
      </c>
      <c r="GJ2" t="e">
        <f>AND('Ark1'!F50,"AAAAAH7/Ib8=")</f>
        <v>#VALUE!</v>
      </c>
      <c r="GK2" t="e">
        <f>AND('Ark1'!G50,"AAAAAH7/IcA=")</f>
        <v>#VALUE!</v>
      </c>
      <c r="GL2" t="e">
        <f>AND('Ark1'!H50,"AAAAAH7/IcE=")</f>
        <v>#VALUE!</v>
      </c>
      <c r="GM2">
        <f>IF('Ark1'!51:51,"AAAAAH7/IcI=",0)</f>
        <v>0</v>
      </c>
      <c r="GN2" t="e">
        <f>AND('Ark1'!A51,"AAAAAH7/IcM=")</f>
        <v>#VALUE!</v>
      </c>
      <c r="GO2" t="e">
        <f>AND('Ark1'!B51,"AAAAAH7/IcQ=")</f>
        <v>#VALUE!</v>
      </c>
      <c r="GP2" t="e">
        <f>AND('Ark1'!C51,"AAAAAH7/IcU=")</f>
        <v>#VALUE!</v>
      </c>
      <c r="GQ2" t="e">
        <f>AND('Ark1'!D51,"AAAAAH7/IcY=")</f>
        <v>#VALUE!</v>
      </c>
      <c r="GR2" t="e">
        <f>AND('Ark1'!E51,"AAAAAH7/Icc=")</f>
        <v>#VALUE!</v>
      </c>
      <c r="GS2" t="e">
        <f>AND('Ark1'!F51,"AAAAAH7/Icg=")</f>
        <v>#VALUE!</v>
      </c>
      <c r="GT2" t="e">
        <f>AND('Ark1'!G51,"AAAAAH7/Ick=")</f>
        <v>#VALUE!</v>
      </c>
      <c r="GU2" t="e">
        <f>AND('Ark1'!H51,"AAAAAH7/Ico=")</f>
        <v>#VALUE!</v>
      </c>
      <c r="GV2">
        <f>IF('Ark1'!52:52,"AAAAAH7/Ics=",0)</f>
        <v>0</v>
      </c>
      <c r="GW2" t="e">
        <f>AND('Ark1'!A52,"AAAAAH7/Icw=")</f>
        <v>#VALUE!</v>
      </c>
      <c r="GX2" t="e">
        <f>AND('Ark1'!B52,"AAAAAH7/Ic0=")</f>
        <v>#VALUE!</v>
      </c>
      <c r="GY2" t="e">
        <f>AND('Ark1'!C52,"AAAAAH7/Ic4=")</f>
        <v>#VALUE!</v>
      </c>
      <c r="GZ2" t="e">
        <f>AND('Ark1'!D52,"AAAAAH7/Ic8=")</f>
        <v>#VALUE!</v>
      </c>
      <c r="HA2" t="e">
        <f>AND('Ark1'!E52,"AAAAAH7/IdA=")</f>
        <v>#VALUE!</v>
      </c>
      <c r="HB2" t="e">
        <f>AND('Ark1'!F52,"AAAAAH7/IdE=")</f>
        <v>#VALUE!</v>
      </c>
      <c r="HC2" t="e">
        <f>AND('Ark1'!G52,"AAAAAH7/IdI=")</f>
        <v>#VALUE!</v>
      </c>
      <c r="HD2" t="e">
        <f>AND('Ark1'!H52,"AAAAAH7/IdM=")</f>
        <v>#VALUE!</v>
      </c>
      <c r="HE2">
        <f>IF('Ark1'!53:53,"AAAAAH7/IdQ=",0)</f>
        <v>0</v>
      </c>
      <c r="HF2" t="e">
        <f>AND('Ark1'!A53,"AAAAAH7/IdU=")</f>
        <v>#VALUE!</v>
      </c>
      <c r="HG2" t="e">
        <f>AND('Ark1'!B53,"AAAAAH7/IdY=")</f>
        <v>#VALUE!</v>
      </c>
      <c r="HH2" t="e">
        <f>AND('Ark1'!C53,"AAAAAH7/Idc=")</f>
        <v>#VALUE!</v>
      </c>
      <c r="HI2" t="e">
        <f>AND('Ark1'!D53,"AAAAAH7/Idg=")</f>
        <v>#VALUE!</v>
      </c>
      <c r="HJ2" t="e">
        <f>AND('Ark1'!E53,"AAAAAH7/Idk=")</f>
        <v>#VALUE!</v>
      </c>
      <c r="HK2" t="e">
        <f>AND('Ark1'!F53,"AAAAAH7/Ido=")</f>
        <v>#VALUE!</v>
      </c>
      <c r="HL2" t="e">
        <f>AND('Ark1'!G53,"AAAAAH7/Ids=")</f>
        <v>#VALUE!</v>
      </c>
      <c r="HM2" t="e">
        <f>AND('Ark1'!H53,"AAAAAH7/Idw=")</f>
        <v>#VALUE!</v>
      </c>
      <c r="HN2">
        <f>IF('Ark1'!54:54,"AAAAAH7/Id0=",0)</f>
        <v>0</v>
      </c>
      <c r="HO2" t="e">
        <f>AND('Ark1'!A54,"AAAAAH7/Id4=")</f>
        <v>#VALUE!</v>
      </c>
      <c r="HP2" t="e">
        <f>AND('Ark1'!B54,"AAAAAH7/Id8=")</f>
        <v>#VALUE!</v>
      </c>
      <c r="HQ2" t="e">
        <f>AND('Ark1'!C54,"AAAAAH7/IeA=")</f>
        <v>#VALUE!</v>
      </c>
      <c r="HR2" t="e">
        <f>AND('Ark1'!D54,"AAAAAH7/IeE=")</f>
        <v>#VALUE!</v>
      </c>
      <c r="HS2" t="e">
        <f>AND('Ark1'!E54,"AAAAAH7/IeI=")</f>
        <v>#VALUE!</v>
      </c>
      <c r="HT2" t="e">
        <f>AND('Ark1'!F54,"AAAAAH7/IeM=")</f>
        <v>#VALUE!</v>
      </c>
      <c r="HU2" t="e">
        <f>AND('Ark1'!G54,"AAAAAH7/IeQ=")</f>
        <v>#VALUE!</v>
      </c>
      <c r="HV2" t="e">
        <f>AND('Ark1'!H54,"AAAAAH7/IeU=")</f>
        <v>#VALUE!</v>
      </c>
      <c r="HW2">
        <f>IF('Ark1'!55:55,"AAAAAH7/IeY=",0)</f>
        <v>0</v>
      </c>
      <c r="HX2" t="e">
        <f>AND('Ark1'!A55,"AAAAAH7/Iec=")</f>
        <v>#VALUE!</v>
      </c>
      <c r="HY2" t="e">
        <f>AND('Ark1'!B55,"AAAAAH7/Ieg=")</f>
        <v>#VALUE!</v>
      </c>
      <c r="HZ2" t="e">
        <f>AND('Ark1'!C55,"AAAAAH7/Iek=")</f>
        <v>#VALUE!</v>
      </c>
      <c r="IA2" t="e">
        <f>AND('Ark1'!D55,"AAAAAH7/Ieo=")</f>
        <v>#VALUE!</v>
      </c>
      <c r="IB2" t="e">
        <f>AND('Ark1'!E55,"AAAAAH7/Ies=")</f>
        <v>#VALUE!</v>
      </c>
      <c r="IC2" t="e">
        <f>AND('Ark1'!F55,"AAAAAH7/Iew=")</f>
        <v>#VALUE!</v>
      </c>
      <c r="ID2" t="e">
        <f>AND('Ark1'!G55,"AAAAAH7/Ie0=")</f>
        <v>#VALUE!</v>
      </c>
      <c r="IE2" t="e">
        <f>AND('Ark1'!H55,"AAAAAH7/Ie4=")</f>
        <v>#VALUE!</v>
      </c>
      <c r="IF2">
        <f>IF('Ark1'!56:56,"AAAAAH7/Ie8=",0)</f>
        <v>0</v>
      </c>
      <c r="IG2" t="e">
        <f>AND('Ark1'!A56,"AAAAAH7/IfA=")</f>
        <v>#VALUE!</v>
      </c>
      <c r="IH2" t="e">
        <f>AND('Ark1'!B56,"AAAAAH7/IfE=")</f>
        <v>#VALUE!</v>
      </c>
      <c r="II2" t="e">
        <f>AND('Ark1'!C56,"AAAAAH7/IfI=")</f>
        <v>#VALUE!</v>
      </c>
      <c r="IJ2" t="e">
        <f>AND('Ark1'!D56,"AAAAAH7/IfM=")</f>
        <v>#VALUE!</v>
      </c>
      <c r="IK2" t="e">
        <f>AND('Ark1'!E56,"AAAAAH7/IfQ=")</f>
        <v>#VALUE!</v>
      </c>
      <c r="IL2" t="e">
        <f>AND('Ark1'!F56,"AAAAAH7/IfU=")</f>
        <v>#VALUE!</v>
      </c>
      <c r="IM2" t="e">
        <f>AND('Ark1'!G56,"AAAAAH7/IfY=")</f>
        <v>#VALUE!</v>
      </c>
      <c r="IN2" t="e">
        <f>AND('Ark1'!H56,"AAAAAH7/Ifc=")</f>
        <v>#VALUE!</v>
      </c>
      <c r="IO2">
        <f>IF('Ark1'!57:57,"AAAAAH7/Ifg=",0)</f>
        <v>0</v>
      </c>
      <c r="IP2" t="e">
        <f>AND('Ark1'!A57,"AAAAAH7/Ifk=")</f>
        <v>#VALUE!</v>
      </c>
      <c r="IQ2" t="e">
        <f>AND('Ark1'!B57,"AAAAAH7/Ifo=")</f>
        <v>#VALUE!</v>
      </c>
      <c r="IR2" t="e">
        <f>AND('Ark1'!C57,"AAAAAH7/Ifs=")</f>
        <v>#VALUE!</v>
      </c>
      <c r="IS2" t="e">
        <f>AND('Ark1'!D57,"AAAAAH7/Ifw=")</f>
        <v>#VALUE!</v>
      </c>
      <c r="IT2" t="e">
        <f>AND('Ark1'!E57,"AAAAAH7/If0=")</f>
        <v>#VALUE!</v>
      </c>
      <c r="IU2" t="e">
        <f>AND('Ark1'!F57,"AAAAAH7/If4=")</f>
        <v>#VALUE!</v>
      </c>
      <c r="IV2" t="e">
        <f>AND('Ark1'!G57,"AAAAAH7/If8=")</f>
        <v>#VALUE!</v>
      </c>
    </row>
    <row r="3" spans="1:256" x14ac:dyDescent="0.25">
      <c r="A3" t="e">
        <f>AND('Ark1'!H57,"AAAAAGtr5wA=")</f>
        <v>#VALUE!</v>
      </c>
      <c r="B3" t="e">
        <f>IF('Ark1'!58:58,"AAAAAGtr5wE=",0)</f>
        <v>#VALUE!</v>
      </c>
      <c r="C3" t="e">
        <f>AND('Ark1'!A58,"AAAAAGtr5wI=")</f>
        <v>#VALUE!</v>
      </c>
      <c r="D3" t="e">
        <f>AND('Ark1'!B58,"AAAAAGtr5wM=")</f>
        <v>#VALUE!</v>
      </c>
      <c r="E3" t="e">
        <f>AND('Ark1'!C58,"AAAAAGtr5wQ=")</f>
        <v>#VALUE!</v>
      </c>
      <c r="F3" t="e">
        <f>AND('Ark1'!D58,"AAAAAGtr5wU=")</f>
        <v>#VALUE!</v>
      </c>
      <c r="G3" t="e">
        <f>AND('Ark1'!E58,"AAAAAGtr5wY=")</f>
        <v>#VALUE!</v>
      </c>
      <c r="H3" t="e">
        <f>AND('Ark1'!F58,"AAAAAGtr5wc=")</f>
        <v>#VALUE!</v>
      </c>
      <c r="I3" t="e">
        <f>AND('Ark1'!G58,"AAAAAGtr5wg=")</f>
        <v>#VALUE!</v>
      </c>
      <c r="J3" t="e">
        <f>AND('Ark1'!H58,"AAAAAGtr5wk=")</f>
        <v>#VALUE!</v>
      </c>
      <c r="K3">
        <f>IF('Ark1'!59:59,"AAAAAGtr5wo=",0)</f>
        <v>0</v>
      </c>
      <c r="L3" t="e">
        <f>AND('Ark1'!A59,"AAAAAGtr5ws=")</f>
        <v>#VALUE!</v>
      </c>
      <c r="M3" t="e">
        <f>AND('Ark1'!B59,"AAAAAGtr5ww=")</f>
        <v>#VALUE!</v>
      </c>
      <c r="N3" t="e">
        <f>AND('Ark1'!C59,"AAAAAGtr5w0=")</f>
        <v>#VALUE!</v>
      </c>
      <c r="O3" t="e">
        <f>AND('Ark1'!D59,"AAAAAGtr5w4=")</f>
        <v>#VALUE!</v>
      </c>
      <c r="P3" t="e">
        <f>AND('Ark1'!E59,"AAAAAGtr5w8=")</f>
        <v>#VALUE!</v>
      </c>
      <c r="Q3" t="e">
        <f>AND('Ark1'!F59,"AAAAAGtr5xA=")</f>
        <v>#VALUE!</v>
      </c>
      <c r="R3" t="e">
        <f>AND('Ark1'!G59,"AAAAAGtr5xE=")</f>
        <v>#VALUE!</v>
      </c>
      <c r="S3" t="e">
        <f>AND('Ark1'!H59,"AAAAAGtr5xI=")</f>
        <v>#VALUE!</v>
      </c>
      <c r="T3">
        <f>IF('Ark1'!60:60,"AAAAAGtr5xM=",0)</f>
        <v>0</v>
      </c>
      <c r="U3" t="e">
        <f>AND('Ark1'!A60,"AAAAAGtr5xQ=")</f>
        <v>#VALUE!</v>
      </c>
      <c r="V3" t="e">
        <f>AND('Ark1'!B60,"AAAAAGtr5xU=")</f>
        <v>#VALUE!</v>
      </c>
      <c r="W3" t="e">
        <f>AND('Ark1'!C60,"AAAAAGtr5xY=")</f>
        <v>#VALUE!</v>
      </c>
      <c r="X3" t="e">
        <f>AND('Ark1'!D60,"AAAAAGtr5xc=")</f>
        <v>#VALUE!</v>
      </c>
      <c r="Y3" t="e">
        <f>AND('Ark1'!E60,"AAAAAGtr5xg=")</f>
        <v>#VALUE!</v>
      </c>
      <c r="Z3" t="e">
        <f>AND('Ark1'!F60,"AAAAAGtr5xk=")</f>
        <v>#VALUE!</v>
      </c>
      <c r="AA3" t="e">
        <f>AND('Ark1'!G60,"AAAAAGtr5xo=")</f>
        <v>#VALUE!</v>
      </c>
      <c r="AB3" t="e">
        <f>AND('Ark1'!H60,"AAAAAGtr5xs=")</f>
        <v>#VALUE!</v>
      </c>
      <c r="AC3">
        <f>IF('Ark1'!61:61,"AAAAAGtr5xw=",0)</f>
        <v>0</v>
      </c>
      <c r="AD3" t="e">
        <f>AND('Ark1'!A61,"AAAAAGtr5x0=")</f>
        <v>#VALUE!</v>
      </c>
      <c r="AE3" t="e">
        <f>AND('Ark1'!B61,"AAAAAGtr5x4=")</f>
        <v>#VALUE!</v>
      </c>
      <c r="AF3" t="e">
        <f>AND('Ark1'!C61,"AAAAAGtr5x8=")</f>
        <v>#VALUE!</v>
      </c>
      <c r="AG3" t="e">
        <f>AND('Ark1'!D61,"AAAAAGtr5yA=")</f>
        <v>#VALUE!</v>
      </c>
      <c r="AH3" t="e">
        <f>AND('Ark1'!E61,"AAAAAGtr5yE=")</f>
        <v>#VALUE!</v>
      </c>
      <c r="AI3" t="e">
        <f>AND('Ark1'!F61,"AAAAAGtr5yI=")</f>
        <v>#VALUE!</v>
      </c>
      <c r="AJ3" t="e">
        <f>AND('Ark1'!G61,"AAAAAGtr5yM=")</f>
        <v>#VALUE!</v>
      </c>
      <c r="AK3" t="e">
        <f>AND('Ark1'!H61,"AAAAAGtr5yQ=")</f>
        <v>#VALUE!</v>
      </c>
      <c r="AL3">
        <f>IF('Ark1'!62:62,"AAAAAGtr5yU=",0)</f>
        <v>0</v>
      </c>
      <c r="AM3" t="e">
        <f>AND('Ark1'!A62,"AAAAAGtr5yY=")</f>
        <v>#VALUE!</v>
      </c>
      <c r="AN3" t="e">
        <f>AND('Ark1'!B62,"AAAAAGtr5yc=")</f>
        <v>#VALUE!</v>
      </c>
      <c r="AO3" t="e">
        <f>AND('Ark1'!C62,"AAAAAGtr5yg=")</f>
        <v>#VALUE!</v>
      </c>
      <c r="AP3" t="e">
        <f>AND('Ark1'!D62,"AAAAAGtr5yk=")</f>
        <v>#VALUE!</v>
      </c>
      <c r="AQ3" t="e">
        <f>AND('Ark1'!E62,"AAAAAGtr5yo=")</f>
        <v>#VALUE!</v>
      </c>
      <c r="AR3" t="e">
        <f>AND('Ark1'!F62,"AAAAAGtr5ys=")</f>
        <v>#VALUE!</v>
      </c>
      <c r="AS3" t="e">
        <f>AND('Ark1'!G62,"AAAAAGtr5yw=")</f>
        <v>#VALUE!</v>
      </c>
      <c r="AT3" t="e">
        <f>AND('Ark1'!H62,"AAAAAGtr5y0=")</f>
        <v>#VALUE!</v>
      </c>
      <c r="AU3">
        <f>IF('Ark1'!63:63,"AAAAAGtr5y4=",0)</f>
        <v>0</v>
      </c>
      <c r="AV3" t="e">
        <f>AND('Ark1'!A63,"AAAAAGtr5y8=")</f>
        <v>#VALUE!</v>
      </c>
      <c r="AW3" t="e">
        <f>AND('Ark1'!B63,"AAAAAGtr5zA=")</f>
        <v>#VALUE!</v>
      </c>
      <c r="AX3" t="e">
        <f>AND('Ark1'!C63,"AAAAAGtr5zE=")</f>
        <v>#VALUE!</v>
      </c>
      <c r="AY3" t="e">
        <f>AND('Ark1'!D63,"AAAAAGtr5zI=")</f>
        <v>#VALUE!</v>
      </c>
      <c r="AZ3" t="e">
        <f>AND('Ark1'!E63,"AAAAAGtr5zM=")</f>
        <v>#VALUE!</v>
      </c>
      <c r="BA3" t="e">
        <f>AND('Ark1'!F63,"AAAAAGtr5zQ=")</f>
        <v>#VALUE!</v>
      </c>
      <c r="BB3" t="e">
        <f>AND('Ark1'!G63,"AAAAAGtr5zU=")</f>
        <v>#VALUE!</v>
      </c>
      <c r="BC3" t="e">
        <f>AND('Ark1'!H63,"AAAAAGtr5zY=")</f>
        <v>#VALUE!</v>
      </c>
      <c r="BD3">
        <f>IF('Ark1'!64:64,"AAAAAGtr5zc=",0)</f>
        <v>0</v>
      </c>
      <c r="BE3" t="e">
        <f>AND('Ark1'!A64,"AAAAAGtr5zg=")</f>
        <v>#VALUE!</v>
      </c>
      <c r="BF3" t="e">
        <f>AND('Ark1'!B64,"AAAAAGtr5zk=")</f>
        <v>#VALUE!</v>
      </c>
      <c r="BG3" t="e">
        <f>AND('Ark1'!C64,"AAAAAGtr5zo=")</f>
        <v>#VALUE!</v>
      </c>
      <c r="BH3" t="e">
        <f>AND('Ark1'!D64,"AAAAAGtr5zs=")</f>
        <v>#VALUE!</v>
      </c>
      <c r="BI3" t="e">
        <f>AND('Ark1'!E64,"AAAAAGtr5zw=")</f>
        <v>#VALUE!</v>
      </c>
      <c r="BJ3" t="e">
        <f>AND('Ark1'!F64,"AAAAAGtr5z0=")</f>
        <v>#VALUE!</v>
      </c>
      <c r="BK3" t="e">
        <f>AND('Ark1'!G64,"AAAAAGtr5z4=")</f>
        <v>#VALUE!</v>
      </c>
      <c r="BL3" t="e">
        <f>AND('Ark1'!H64,"AAAAAGtr5z8=")</f>
        <v>#VALUE!</v>
      </c>
      <c r="BM3">
        <f>IF('Ark1'!65:65,"AAAAAGtr50A=",0)</f>
        <v>0</v>
      </c>
      <c r="BN3" t="e">
        <f>AND('Ark1'!A65,"AAAAAGtr50E=")</f>
        <v>#VALUE!</v>
      </c>
      <c r="BO3" t="e">
        <f>AND('Ark1'!B65,"AAAAAGtr50I=")</f>
        <v>#VALUE!</v>
      </c>
      <c r="BP3" t="e">
        <f>AND('Ark1'!C65,"AAAAAGtr50M=")</f>
        <v>#VALUE!</v>
      </c>
      <c r="BQ3" t="e">
        <f>AND('Ark1'!D65,"AAAAAGtr50Q=")</f>
        <v>#VALUE!</v>
      </c>
      <c r="BR3" t="e">
        <f>AND('Ark1'!E65,"AAAAAGtr50U=")</f>
        <v>#VALUE!</v>
      </c>
      <c r="BS3" t="e">
        <f>AND('Ark1'!F65,"AAAAAGtr50Y=")</f>
        <v>#VALUE!</v>
      </c>
      <c r="BT3" t="e">
        <f>AND('Ark1'!G65,"AAAAAGtr50c=")</f>
        <v>#VALUE!</v>
      </c>
      <c r="BU3" t="e">
        <f>AND('Ark1'!H65,"AAAAAGtr50g=")</f>
        <v>#VALUE!</v>
      </c>
      <c r="BV3">
        <f>IF('Ark1'!66:66,"AAAAAGtr50k=",0)</f>
        <v>0</v>
      </c>
      <c r="BW3" t="e">
        <f>AND('Ark1'!A66,"AAAAAGtr50o=")</f>
        <v>#VALUE!</v>
      </c>
      <c r="BX3" t="e">
        <f>AND('Ark1'!B66,"AAAAAGtr50s=")</f>
        <v>#VALUE!</v>
      </c>
      <c r="BY3" t="e">
        <f>AND('Ark1'!C66,"AAAAAGtr50w=")</f>
        <v>#VALUE!</v>
      </c>
      <c r="BZ3" t="e">
        <f>AND('Ark1'!D66,"AAAAAGtr500=")</f>
        <v>#VALUE!</v>
      </c>
      <c r="CA3" t="e">
        <f>AND('Ark1'!E66,"AAAAAGtr504=")</f>
        <v>#VALUE!</v>
      </c>
      <c r="CB3" t="e">
        <f>AND('Ark1'!F66,"AAAAAGtr508=")</f>
        <v>#VALUE!</v>
      </c>
      <c r="CC3" t="e">
        <f>AND('Ark1'!G66,"AAAAAGtr51A=")</f>
        <v>#VALUE!</v>
      </c>
      <c r="CD3" t="e">
        <f>AND('Ark1'!H66,"AAAAAGtr51E=")</f>
        <v>#VALUE!</v>
      </c>
      <c r="CE3">
        <f>IF('Ark1'!67:67,"AAAAAGtr51I=",0)</f>
        <v>0</v>
      </c>
      <c r="CF3" t="e">
        <f>AND('Ark1'!A67,"AAAAAGtr51M=")</f>
        <v>#VALUE!</v>
      </c>
      <c r="CG3" t="e">
        <f>AND('Ark1'!B67,"AAAAAGtr51Q=")</f>
        <v>#VALUE!</v>
      </c>
      <c r="CH3" t="e">
        <f>AND('Ark1'!C67,"AAAAAGtr51U=")</f>
        <v>#VALUE!</v>
      </c>
      <c r="CI3" t="e">
        <f>AND('Ark1'!D67,"AAAAAGtr51Y=")</f>
        <v>#VALUE!</v>
      </c>
      <c r="CJ3" t="e">
        <f>AND('Ark1'!E67,"AAAAAGtr51c=")</f>
        <v>#VALUE!</v>
      </c>
      <c r="CK3" t="e">
        <f>AND('Ark1'!F67,"AAAAAGtr51g=")</f>
        <v>#VALUE!</v>
      </c>
      <c r="CL3" t="e">
        <f>AND('Ark1'!G67,"AAAAAGtr51k=")</f>
        <v>#VALUE!</v>
      </c>
      <c r="CM3" t="e">
        <f>AND('Ark1'!H67,"AAAAAGtr51o=")</f>
        <v>#VALUE!</v>
      </c>
      <c r="CN3">
        <f>IF('Ark1'!68:68,"AAAAAGtr51s=",0)</f>
        <v>0</v>
      </c>
      <c r="CO3" t="e">
        <f>AND('Ark1'!A68,"AAAAAGtr51w=")</f>
        <v>#VALUE!</v>
      </c>
      <c r="CP3" t="e">
        <f>AND('Ark1'!B68,"AAAAAGtr510=")</f>
        <v>#VALUE!</v>
      </c>
      <c r="CQ3" t="e">
        <f>AND('Ark1'!C68,"AAAAAGtr514=")</f>
        <v>#VALUE!</v>
      </c>
      <c r="CR3" t="e">
        <f>AND('Ark1'!D68,"AAAAAGtr518=")</f>
        <v>#VALUE!</v>
      </c>
      <c r="CS3" t="e">
        <f>AND('Ark1'!E68,"AAAAAGtr52A=")</f>
        <v>#VALUE!</v>
      </c>
      <c r="CT3" t="e">
        <f>AND('Ark1'!F68,"AAAAAGtr52E=")</f>
        <v>#VALUE!</v>
      </c>
      <c r="CU3" t="e">
        <f>AND('Ark1'!G68,"AAAAAGtr52I=")</f>
        <v>#VALUE!</v>
      </c>
      <c r="CV3" t="e">
        <f>AND('Ark1'!H68,"AAAAAGtr52M=")</f>
        <v>#VALUE!</v>
      </c>
      <c r="CW3">
        <f>IF('Ark1'!69:69,"AAAAAGtr52Q=",0)</f>
        <v>0</v>
      </c>
      <c r="CX3" t="e">
        <f>AND('Ark1'!A69,"AAAAAGtr52U=")</f>
        <v>#VALUE!</v>
      </c>
      <c r="CY3" t="e">
        <f>AND('Ark1'!B69,"AAAAAGtr52Y=")</f>
        <v>#VALUE!</v>
      </c>
      <c r="CZ3" t="e">
        <f>AND('Ark1'!C69,"AAAAAGtr52c=")</f>
        <v>#VALUE!</v>
      </c>
      <c r="DA3" t="e">
        <f>AND('Ark1'!D69,"AAAAAGtr52g=")</f>
        <v>#VALUE!</v>
      </c>
      <c r="DB3" t="e">
        <f>AND('Ark1'!E69,"AAAAAGtr52k=")</f>
        <v>#VALUE!</v>
      </c>
      <c r="DC3" t="e">
        <f>AND('Ark1'!F69,"AAAAAGtr52o=")</f>
        <v>#VALUE!</v>
      </c>
      <c r="DD3" t="e">
        <f>AND('Ark1'!G69,"AAAAAGtr52s=")</f>
        <v>#VALUE!</v>
      </c>
      <c r="DE3" t="e">
        <f>AND('Ark1'!H69,"AAAAAGtr52w=")</f>
        <v>#VALUE!</v>
      </c>
      <c r="DF3">
        <f>IF('Ark1'!70:70,"AAAAAGtr520=",0)</f>
        <v>0</v>
      </c>
      <c r="DG3" t="e">
        <f>AND('Ark1'!A70,"AAAAAGtr524=")</f>
        <v>#VALUE!</v>
      </c>
      <c r="DH3" t="e">
        <f>AND('Ark1'!B70,"AAAAAGtr528=")</f>
        <v>#VALUE!</v>
      </c>
      <c r="DI3" t="e">
        <f>AND('Ark1'!C70,"AAAAAGtr53A=")</f>
        <v>#VALUE!</v>
      </c>
      <c r="DJ3" t="e">
        <f>AND('Ark1'!D70,"AAAAAGtr53E=")</f>
        <v>#VALUE!</v>
      </c>
      <c r="DK3" t="e">
        <f>AND('Ark1'!E70,"AAAAAGtr53I=")</f>
        <v>#VALUE!</v>
      </c>
      <c r="DL3" t="e">
        <f>AND('Ark1'!F70,"AAAAAGtr53M=")</f>
        <v>#VALUE!</v>
      </c>
      <c r="DM3" t="e">
        <f>AND('Ark1'!G70,"AAAAAGtr53Q=")</f>
        <v>#VALUE!</v>
      </c>
      <c r="DN3" t="e">
        <f>AND('Ark1'!H70,"AAAAAGtr53U=")</f>
        <v>#VALUE!</v>
      </c>
      <c r="DO3">
        <f>IF('Ark1'!71:71,"AAAAAGtr53Y=",0)</f>
        <v>0</v>
      </c>
      <c r="DP3" t="e">
        <f>AND('Ark1'!A71,"AAAAAGtr53c=")</f>
        <v>#VALUE!</v>
      </c>
      <c r="DQ3" t="e">
        <f>AND('Ark1'!B71,"AAAAAGtr53g=")</f>
        <v>#VALUE!</v>
      </c>
      <c r="DR3" t="e">
        <f>AND('Ark1'!C71,"AAAAAGtr53k=")</f>
        <v>#VALUE!</v>
      </c>
      <c r="DS3" t="e">
        <f>AND('Ark1'!D71,"AAAAAGtr53o=")</f>
        <v>#VALUE!</v>
      </c>
      <c r="DT3" t="e">
        <f>AND('Ark1'!E71,"AAAAAGtr53s=")</f>
        <v>#VALUE!</v>
      </c>
      <c r="DU3" t="e">
        <f>AND('Ark1'!F71,"AAAAAGtr53w=")</f>
        <v>#VALUE!</v>
      </c>
      <c r="DV3" t="e">
        <f>AND('Ark1'!G71,"AAAAAGtr530=")</f>
        <v>#VALUE!</v>
      </c>
      <c r="DW3" t="e">
        <f>AND('Ark1'!H71,"AAAAAGtr534=")</f>
        <v>#VALUE!</v>
      </c>
      <c r="DX3">
        <f>IF('Ark1'!72:72,"AAAAAGtr538=",0)</f>
        <v>0</v>
      </c>
      <c r="DY3" t="e">
        <f>AND('Ark1'!A72,"AAAAAGtr54A=")</f>
        <v>#VALUE!</v>
      </c>
      <c r="DZ3" t="e">
        <f>AND('Ark1'!B72,"AAAAAGtr54E=")</f>
        <v>#VALUE!</v>
      </c>
      <c r="EA3" t="e">
        <f>AND('Ark1'!C72,"AAAAAGtr54I=")</f>
        <v>#VALUE!</v>
      </c>
      <c r="EB3" t="e">
        <f>AND('Ark1'!D72,"AAAAAGtr54M=")</f>
        <v>#VALUE!</v>
      </c>
      <c r="EC3" t="e">
        <f>AND('Ark1'!E72,"AAAAAGtr54Q=")</f>
        <v>#VALUE!</v>
      </c>
      <c r="ED3" t="e">
        <f>AND('Ark1'!F72,"AAAAAGtr54U=")</f>
        <v>#VALUE!</v>
      </c>
      <c r="EE3" t="e">
        <f>AND('Ark1'!G72,"AAAAAGtr54Y=")</f>
        <v>#VALUE!</v>
      </c>
      <c r="EF3" t="e">
        <f>AND('Ark1'!H72,"AAAAAGtr54c=")</f>
        <v>#VALUE!</v>
      </c>
      <c r="EG3">
        <f>IF('Ark1'!73:73,"AAAAAGtr54g=",0)</f>
        <v>0</v>
      </c>
      <c r="EH3" t="e">
        <f>AND('Ark1'!A73,"AAAAAGtr54k=")</f>
        <v>#VALUE!</v>
      </c>
      <c r="EI3" t="e">
        <f>AND('Ark1'!B73,"AAAAAGtr54o=")</f>
        <v>#VALUE!</v>
      </c>
      <c r="EJ3" t="e">
        <f>AND('Ark1'!C73,"AAAAAGtr54s=")</f>
        <v>#VALUE!</v>
      </c>
      <c r="EK3" t="e">
        <f>AND('Ark1'!D73,"AAAAAGtr54w=")</f>
        <v>#VALUE!</v>
      </c>
      <c r="EL3" t="e">
        <f>AND('Ark1'!E73,"AAAAAGtr540=")</f>
        <v>#VALUE!</v>
      </c>
      <c r="EM3" t="e">
        <f>AND('Ark1'!F73,"AAAAAGtr544=")</f>
        <v>#VALUE!</v>
      </c>
      <c r="EN3" t="e">
        <f>AND('Ark1'!G73,"AAAAAGtr548=")</f>
        <v>#VALUE!</v>
      </c>
      <c r="EO3" t="e">
        <f>AND('Ark1'!H73,"AAAAAGtr55A=")</f>
        <v>#VALUE!</v>
      </c>
      <c r="EP3">
        <f>IF('Ark1'!74:74,"AAAAAGtr55E=",0)</f>
        <v>0</v>
      </c>
      <c r="EQ3" t="e">
        <f>AND('Ark1'!A74,"AAAAAGtr55I=")</f>
        <v>#VALUE!</v>
      </c>
      <c r="ER3" t="e">
        <f>AND('Ark1'!B74,"AAAAAGtr55M=")</f>
        <v>#VALUE!</v>
      </c>
      <c r="ES3" t="e">
        <f>AND('Ark1'!C74,"AAAAAGtr55Q=")</f>
        <v>#VALUE!</v>
      </c>
      <c r="ET3" t="e">
        <f>AND('Ark1'!D74,"AAAAAGtr55U=")</f>
        <v>#VALUE!</v>
      </c>
      <c r="EU3" t="e">
        <f>AND('Ark1'!E74,"AAAAAGtr55Y=")</f>
        <v>#VALUE!</v>
      </c>
      <c r="EV3" t="e">
        <f>AND('Ark1'!F74,"AAAAAGtr55c=")</f>
        <v>#VALUE!</v>
      </c>
      <c r="EW3" t="e">
        <f>AND('Ark1'!G74,"AAAAAGtr55g=")</f>
        <v>#VALUE!</v>
      </c>
      <c r="EX3" t="e">
        <f>AND('Ark1'!H74,"AAAAAGtr55k=")</f>
        <v>#VALUE!</v>
      </c>
      <c r="EY3">
        <f>IF('Ark1'!75:75,"AAAAAGtr55o=",0)</f>
        <v>0</v>
      </c>
      <c r="EZ3" t="e">
        <f>AND('Ark1'!A75,"AAAAAGtr55s=")</f>
        <v>#VALUE!</v>
      </c>
      <c r="FA3" t="e">
        <f>AND('Ark1'!B75,"AAAAAGtr55w=")</f>
        <v>#VALUE!</v>
      </c>
      <c r="FB3" t="e">
        <f>AND('Ark1'!C75,"AAAAAGtr550=")</f>
        <v>#VALUE!</v>
      </c>
      <c r="FC3" t="e">
        <f>AND('Ark1'!D75,"AAAAAGtr554=")</f>
        <v>#VALUE!</v>
      </c>
      <c r="FD3" t="e">
        <f>AND('Ark1'!E75,"AAAAAGtr558=")</f>
        <v>#VALUE!</v>
      </c>
      <c r="FE3" t="e">
        <f>AND('Ark1'!F75,"AAAAAGtr56A=")</f>
        <v>#VALUE!</v>
      </c>
      <c r="FF3" t="e">
        <f>AND('Ark1'!G75,"AAAAAGtr56E=")</f>
        <v>#VALUE!</v>
      </c>
      <c r="FG3" t="e">
        <f>AND('Ark1'!H75,"AAAAAGtr56I=")</f>
        <v>#VALUE!</v>
      </c>
      <c r="FH3">
        <f>IF('Ark1'!76:76,"AAAAAGtr56M=",0)</f>
        <v>0</v>
      </c>
      <c r="FI3" t="e">
        <f>AND('Ark1'!A76,"AAAAAGtr56Q=")</f>
        <v>#VALUE!</v>
      </c>
      <c r="FJ3" t="e">
        <f>AND('Ark1'!B76,"AAAAAGtr56U=")</f>
        <v>#VALUE!</v>
      </c>
      <c r="FK3" t="e">
        <f>AND('Ark1'!C76,"AAAAAGtr56Y=")</f>
        <v>#VALUE!</v>
      </c>
      <c r="FL3" t="e">
        <f>AND('Ark1'!D76,"AAAAAGtr56c=")</f>
        <v>#VALUE!</v>
      </c>
      <c r="FM3" t="e">
        <f>AND('Ark1'!E76,"AAAAAGtr56g=")</f>
        <v>#VALUE!</v>
      </c>
      <c r="FN3" t="e">
        <f>AND('Ark1'!F76,"AAAAAGtr56k=")</f>
        <v>#VALUE!</v>
      </c>
      <c r="FO3" t="e">
        <f>AND('Ark1'!G76,"AAAAAGtr56o=")</f>
        <v>#VALUE!</v>
      </c>
      <c r="FP3" t="e">
        <f>AND('Ark1'!H76,"AAAAAGtr56s=")</f>
        <v>#VALUE!</v>
      </c>
      <c r="FQ3">
        <f>IF('Ark1'!77:77,"AAAAAGtr56w=",0)</f>
        <v>0</v>
      </c>
      <c r="FR3" t="e">
        <f>AND('Ark1'!A77,"AAAAAGtr560=")</f>
        <v>#VALUE!</v>
      </c>
      <c r="FS3" t="e">
        <f>AND('Ark1'!B77,"AAAAAGtr564=")</f>
        <v>#VALUE!</v>
      </c>
      <c r="FT3" t="e">
        <f>AND('Ark1'!C77,"AAAAAGtr568=")</f>
        <v>#VALUE!</v>
      </c>
      <c r="FU3" t="e">
        <f>AND('Ark1'!D77,"AAAAAGtr57A=")</f>
        <v>#VALUE!</v>
      </c>
      <c r="FV3" t="e">
        <f>AND('Ark1'!E77,"AAAAAGtr57E=")</f>
        <v>#VALUE!</v>
      </c>
      <c r="FW3" t="e">
        <f>AND('Ark1'!F77,"AAAAAGtr57I=")</f>
        <v>#VALUE!</v>
      </c>
      <c r="FX3" t="e">
        <f>AND('Ark1'!G77,"AAAAAGtr57M=")</f>
        <v>#VALUE!</v>
      </c>
      <c r="FY3" t="e">
        <f>AND('Ark1'!H77,"AAAAAGtr57Q=")</f>
        <v>#VALUE!</v>
      </c>
      <c r="FZ3">
        <f>IF('Ark1'!78:78,"AAAAAGtr57U=",0)</f>
        <v>0</v>
      </c>
      <c r="GA3" t="e">
        <f>AND('Ark1'!A78,"AAAAAGtr57Y=")</f>
        <v>#VALUE!</v>
      </c>
      <c r="GB3" t="e">
        <f>AND('Ark1'!B78,"AAAAAGtr57c=")</f>
        <v>#VALUE!</v>
      </c>
      <c r="GC3" t="e">
        <f>AND('Ark1'!C78,"AAAAAGtr57g=")</f>
        <v>#VALUE!</v>
      </c>
      <c r="GD3" t="e">
        <f>AND('Ark1'!D78,"AAAAAGtr57k=")</f>
        <v>#VALUE!</v>
      </c>
      <c r="GE3" t="e">
        <f>AND('Ark1'!E78,"AAAAAGtr57o=")</f>
        <v>#VALUE!</v>
      </c>
      <c r="GF3" t="e">
        <f>AND('Ark1'!F78,"AAAAAGtr57s=")</f>
        <v>#VALUE!</v>
      </c>
      <c r="GG3" t="e">
        <f>AND('Ark1'!G78,"AAAAAGtr57w=")</f>
        <v>#VALUE!</v>
      </c>
      <c r="GH3" t="e">
        <f>AND('Ark1'!H78,"AAAAAGtr570=")</f>
        <v>#VALUE!</v>
      </c>
      <c r="GI3">
        <f>IF('Ark1'!79:79,"AAAAAGtr574=",0)</f>
        <v>0</v>
      </c>
      <c r="GJ3" t="e">
        <f>AND('Ark1'!A79,"AAAAAGtr578=")</f>
        <v>#VALUE!</v>
      </c>
      <c r="GK3" t="e">
        <f>AND('Ark1'!B79,"AAAAAGtr58A=")</f>
        <v>#VALUE!</v>
      </c>
      <c r="GL3" t="e">
        <f>AND('Ark1'!C79,"AAAAAGtr58E=")</f>
        <v>#VALUE!</v>
      </c>
      <c r="GM3" t="e">
        <f>AND('Ark1'!D79,"AAAAAGtr58I=")</f>
        <v>#VALUE!</v>
      </c>
      <c r="GN3" t="e">
        <f>AND('Ark1'!E79,"AAAAAGtr58M=")</f>
        <v>#VALUE!</v>
      </c>
      <c r="GO3" t="e">
        <f>AND('Ark1'!F79,"AAAAAGtr58Q=")</f>
        <v>#VALUE!</v>
      </c>
      <c r="GP3" t="e">
        <f>AND('Ark1'!G79,"AAAAAGtr58U=")</f>
        <v>#VALUE!</v>
      </c>
      <c r="GQ3" t="e">
        <f>AND('Ark1'!H79,"AAAAAGtr58Y=")</f>
        <v>#VALUE!</v>
      </c>
      <c r="GR3">
        <f>IF('Ark1'!80:80,"AAAAAGtr58c=",0)</f>
        <v>0</v>
      </c>
      <c r="GS3" t="e">
        <f>AND('Ark1'!A80,"AAAAAGtr58g=")</f>
        <v>#VALUE!</v>
      </c>
      <c r="GT3" t="e">
        <f>AND('Ark1'!B80,"AAAAAGtr58k=")</f>
        <v>#VALUE!</v>
      </c>
      <c r="GU3" t="e">
        <f>AND('Ark1'!C80,"AAAAAGtr58o=")</f>
        <v>#VALUE!</v>
      </c>
      <c r="GV3" t="e">
        <f>AND('Ark1'!D80,"AAAAAGtr58s=")</f>
        <v>#VALUE!</v>
      </c>
      <c r="GW3" t="e">
        <f>AND('Ark1'!E80,"AAAAAGtr58w=")</f>
        <v>#VALUE!</v>
      </c>
      <c r="GX3" t="e">
        <f>AND('Ark1'!F80,"AAAAAGtr580=")</f>
        <v>#VALUE!</v>
      </c>
      <c r="GY3" t="e">
        <f>AND('Ark1'!G80,"AAAAAGtr584=")</f>
        <v>#VALUE!</v>
      </c>
      <c r="GZ3" t="e">
        <f>AND('Ark1'!H80,"AAAAAGtr588=")</f>
        <v>#VALUE!</v>
      </c>
      <c r="HA3">
        <f>IF('Ark1'!81:81,"AAAAAGtr59A=",0)</f>
        <v>0</v>
      </c>
      <c r="HB3" t="e">
        <f>AND('Ark1'!A81,"AAAAAGtr59E=")</f>
        <v>#VALUE!</v>
      </c>
      <c r="HC3" t="e">
        <f>AND('Ark1'!B81,"AAAAAGtr59I=")</f>
        <v>#VALUE!</v>
      </c>
      <c r="HD3" t="e">
        <f>AND('Ark1'!C81,"AAAAAGtr59M=")</f>
        <v>#VALUE!</v>
      </c>
      <c r="HE3" t="e">
        <f>AND('Ark1'!D81,"AAAAAGtr59Q=")</f>
        <v>#VALUE!</v>
      </c>
      <c r="HF3" t="e">
        <f>AND('Ark1'!E81,"AAAAAGtr59U=")</f>
        <v>#VALUE!</v>
      </c>
      <c r="HG3" t="e">
        <f>AND('Ark1'!F81,"AAAAAGtr59Y=")</f>
        <v>#VALUE!</v>
      </c>
      <c r="HH3" t="e">
        <f>AND('Ark1'!G81,"AAAAAGtr59c=")</f>
        <v>#VALUE!</v>
      </c>
      <c r="HI3" t="e">
        <f>AND('Ark1'!H81,"AAAAAGtr59g=")</f>
        <v>#VALUE!</v>
      </c>
      <c r="HJ3">
        <f>IF('Ark1'!82:82,"AAAAAGtr59k=",0)</f>
        <v>0</v>
      </c>
      <c r="HK3" t="e">
        <f>AND('Ark1'!A82,"AAAAAGtr59o=")</f>
        <v>#VALUE!</v>
      </c>
      <c r="HL3" t="e">
        <f>AND('Ark1'!B82,"AAAAAGtr59s=")</f>
        <v>#VALUE!</v>
      </c>
      <c r="HM3" t="e">
        <f>AND('Ark1'!C82,"AAAAAGtr59w=")</f>
        <v>#VALUE!</v>
      </c>
      <c r="HN3" t="e">
        <f>AND('Ark1'!D82,"AAAAAGtr590=")</f>
        <v>#VALUE!</v>
      </c>
      <c r="HO3" t="e">
        <f>AND('Ark1'!E82,"AAAAAGtr594=")</f>
        <v>#VALUE!</v>
      </c>
      <c r="HP3" t="e">
        <f>AND('Ark1'!F82,"AAAAAGtr598=")</f>
        <v>#VALUE!</v>
      </c>
      <c r="HQ3" t="e">
        <f>AND('Ark1'!G82,"AAAAAGtr5+A=")</f>
        <v>#VALUE!</v>
      </c>
      <c r="HR3" t="e">
        <f>AND('Ark1'!H82,"AAAAAGtr5+E=")</f>
        <v>#VALUE!</v>
      </c>
      <c r="HS3">
        <f>IF('Ark1'!83:83,"AAAAAGtr5+I=",0)</f>
        <v>0</v>
      </c>
      <c r="HT3" t="e">
        <f>AND('Ark1'!A83,"AAAAAGtr5+M=")</f>
        <v>#VALUE!</v>
      </c>
      <c r="HU3" t="e">
        <f>AND('Ark1'!B83,"AAAAAGtr5+Q=")</f>
        <v>#VALUE!</v>
      </c>
      <c r="HV3" t="e">
        <f>AND('Ark1'!C83,"AAAAAGtr5+U=")</f>
        <v>#VALUE!</v>
      </c>
      <c r="HW3" t="e">
        <f>AND('Ark1'!D83,"AAAAAGtr5+Y=")</f>
        <v>#VALUE!</v>
      </c>
      <c r="HX3" t="e">
        <f>AND('Ark1'!E83,"AAAAAGtr5+c=")</f>
        <v>#VALUE!</v>
      </c>
      <c r="HY3" t="e">
        <f>AND('Ark1'!F83,"AAAAAGtr5+g=")</f>
        <v>#VALUE!</v>
      </c>
      <c r="HZ3" t="e">
        <f>AND('Ark1'!G83,"AAAAAGtr5+k=")</f>
        <v>#VALUE!</v>
      </c>
      <c r="IA3" t="e">
        <f>AND('Ark1'!H83,"AAAAAGtr5+o=")</f>
        <v>#VALUE!</v>
      </c>
      <c r="IB3">
        <f>IF('Ark1'!84:84,"AAAAAGtr5+s=",0)</f>
        <v>0</v>
      </c>
      <c r="IC3" t="e">
        <f>AND('Ark1'!A84,"AAAAAGtr5+w=")</f>
        <v>#VALUE!</v>
      </c>
      <c r="ID3" t="e">
        <f>AND('Ark1'!B84,"AAAAAGtr5+0=")</f>
        <v>#VALUE!</v>
      </c>
      <c r="IE3" t="e">
        <f>AND('Ark1'!C84,"AAAAAGtr5+4=")</f>
        <v>#VALUE!</v>
      </c>
      <c r="IF3" t="e">
        <f>AND('Ark1'!D84,"AAAAAGtr5+8=")</f>
        <v>#VALUE!</v>
      </c>
      <c r="IG3" t="e">
        <f>AND('Ark1'!E84,"AAAAAGtr5/A=")</f>
        <v>#VALUE!</v>
      </c>
      <c r="IH3" t="e">
        <f>AND('Ark1'!F84,"AAAAAGtr5/E=")</f>
        <v>#VALUE!</v>
      </c>
      <c r="II3" t="e">
        <f>AND('Ark1'!G84,"AAAAAGtr5/I=")</f>
        <v>#VALUE!</v>
      </c>
      <c r="IJ3" t="e">
        <f>AND('Ark1'!H84,"AAAAAGtr5/M=")</f>
        <v>#VALUE!</v>
      </c>
      <c r="IK3">
        <f>IF('Ark1'!85:85,"AAAAAGtr5/Q=",0)</f>
        <v>0</v>
      </c>
      <c r="IL3" t="e">
        <f>AND('Ark1'!A85,"AAAAAGtr5/U=")</f>
        <v>#VALUE!</v>
      </c>
      <c r="IM3" t="e">
        <f>AND('Ark1'!B85,"AAAAAGtr5/Y=")</f>
        <v>#VALUE!</v>
      </c>
      <c r="IN3" t="e">
        <f>AND('Ark1'!C85,"AAAAAGtr5/c=")</f>
        <v>#VALUE!</v>
      </c>
      <c r="IO3" t="e">
        <f>AND('Ark1'!D85,"AAAAAGtr5/g=")</f>
        <v>#VALUE!</v>
      </c>
      <c r="IP3" t="e">
        <f>AND('Ark1'!E85,"AAAAAGtr5/k=")</f>
        <v>#VALUE!</v>
      </c>
      <c r="IQ3" t="e">
        <f>AND('Ark1'!F85,"AAAAAGtr5/o=")</f>
        <v>#VALUE!</v>
      </c>
      <c r="IR3" t="e">
        <f>AND('Ark1'!G85,"AAAAAGtr5/s=")</f>
        <v>#VALUE!</v>
      </c>
      <c r="IS3" t="e">
        <f>AND('Ark1'!H85,"AAAAAGtr5/w=")</f>
        <v>#VALUE!</v>
      </c>
      <c r="IT3">
        <f>IF('Ark1'!86:86,"AAAAAGtr5/0=",0)</f>
        <v>0</v>
      </c>
      <c r="IU3" t="e">
        <f>AND('Ark1'!A86,"AAAAAGtr5/4=")</f>
        <v>#VALUE!</v>
      </c>
      <c r="IV3" t="e">
        <f>AND('Ark1'!B86,"AAAAAGtr5/8=")</f>
        <v>#VALUE!</v>
      </c>
    </row>
    <row r="4" spans="1:256" x14ac:dyDescent="0.25">
      <c r="A4" t="e">
        <f>AND('Ark1'!C86,"AAAAAG/m0gA=")</f>
        <v>#VALUE!</v>
      </c>
      <c r="B4" t="e">
        <f>AND('Ark1'!D86,"AAAAAG/m0gE=")</f>
        <v>#VALUE!</v>
      </c>
      <c r="C4" t="e">
        <f>AND('Ark1'!E86,"AAAAAG/m0gI=")</f>
        <v>#VALUE!</v>
      </c>
      <c r="D4" t="e">
        <f>AND('Ark1'!F86,"AAAAAG/m0gM=")</f>
        <v>#VALUE!</v>
      </c>
      <c r="E4" t="e">
        <f>AND('Ark1'!G86,"AAAAAG/m0gQ=")</f>
        <v>#VALUE!</v>
      </c>
      <c r="F4" t="e">
        <f>AND('Ark1'!H86,"AAAAAG/m0gU=")</f>
        <v>#VALUE!</v>
      </c>
      <c r="G4">
        <f>IF('Ark1'!87:87,"AAAAAG/m0gY=",0)</f>
        <v>0</v>
      </c>
      <c r="H4" t="e">
        <f>AND('Ark1'!A87,"AAAAAG/m0gc=")</f>
        <v>#VALUE!</v>
      </c>
      <c r="I4" t="e">
        <f>AND('Ark1'!B87,"AAAAAG/m0gg=")</f>
        <v>#VALUE!</v>
      </c>
      <c r="J4" t="e">
        <f>AND('Ark1'!C87,"AAAAAG/m0gk=")</f>
        <v>#VALUE!</v>
      </c>
      <c r="K4" t="e">
        <f>AND('Ark1'!D87,"AAAAAG/m0go=")</f>
        <v>#VALUE!</v>
      </c>
      <c r="L4" t="e">
        <f>AND('Ark1'!E87,"AAAAAG/m0gs=")</f>
        <v>#VALUE!</v>
      </c>
      <c r="M4" t="e">
        <f>AND('Ark1'!F87,"AAAAAG/m0gw=")</f>
        <v>#VALUE!</v>
      </c>
      <c r="N4" t="e">
        <f>AND('Ark1'!G87,"AAAAAG/m0g0=")</f>
        <v>#VALUE!</v>
      </c>
      <c r="O4" t="e">
        <f>AND('Ark1'!H87,"AAAAAG/m0g4=")</f>
        <v>#VALUE!</v>
      </c>
      <c r="P4">
        <f>IF('Ark1'!88:88,"AAAAAG/m0g8=",0)</f>
        <v>0</v>
      </c>
      <c r="Q4" t="e">
        <f>AND('Ark1'!A88,"AAAAAG/m0hA=")</f>
        <v>#VALUE!</v>
      </c>
      <c r="R4" t="e">
        <f>AND('Ark1'!B88,"AAAAAG/m0hE=")</f>
        <v>#VALUE!</v>
      </c>
      <c r="S4" t="e">
        <f>AND('Ark1'!C88,"AAAAAG/m0hI=")</f>
        <v>#VALUE!</v>
      </c>
      <c r="T4" t="e">
        <f>AND('Ark1'!D88,"AAAAAG/m0hM=")</f>
        <v>#VALUE!</v>
      </c>
      <c r="U4" t="e">
        <f>AND('Ark1'!E88,"AAAAAG/m0hQ=")</f>
        <v>#VALUE!</v>
      </c>
      <c r="V4" t="e">
        <f>AND('Ark1'!F88,"AAAAAG/m0hU=")</f>
        <v>#VALUE!</v>
      </c>
      <c r="W4" t="e">
        <f>AND('Ark1'!G88,"AAAAAG/m0hY=")</f>
        <v>#VALUE!</v>
      </c>
      <c r="X4" t="e">
        <f>AND('Ark1'!H88,"AAAAAG/m0hc=")</f>
        <v>#VALUE!</v>
      </c>
      <c r="Y4">
        <f>IF('Ark1'!89:89,"AAAAAG/m0hg=",0)</f>
        <v>0</v>
      </c>
      <c r="Z4" t="e">
        <f>AND('Ark1'!A89,"AAAAAG/m0hk=")</f>
        <v>#VALUE!</v>
      </c>
      <c r="AA4" t="e">
        <f>AND('Ark1'!B89,"AAAAAG/m0ho=")</f>
        <v>#VALUE!</v>
      </c>
      <c r="AB4" t="e">
        <f>AND('Ark1'!C89,"AAAAAG/m0hs=")</f>
        <v>#VALUE!</v>
      </c>
      <c r="AC4" t="e">
        <f>AND('Ark1'!D89,"AAAAAG/m0hw=")</f>
        <v>#VALUE!</v>
      </c>
      <c r="AD4" t="e">
        <f>AND('Ark1'!E89,"AAAAAG/m0h0=")</f>
        <v>#VALUE!</v>
      </c>
      <c r="AE4" t="e">
        <f>AND('Ark1'!F89,"AAAAAG/m0h4=")</f>
        <v>#VALUE!</v>
      </c>
      <c r="AF4" t="e">
        <f>AND('Ark1'!G89,"AAAAAG/m0h8=")</f>
        <v>#VALUE!</v>
      </c>
      <c r="AG4" t="e">
        <f>AND('Ark1'!H89,"AAAAAG/m0iA=")</f>
        <v>#VALUE!</v>
      </c>
      <c r="AH4">
        <f>IF('Ark1'!90:90,"AAAAAG/m0iE=",0)</f>
        <v>0</v>
      </c>
      <c r="AI4" t="e">
        <f>AND('Ark1'!A90,"AAAAAG/m0iI=")</f>
        <v>#VALUE!</v>
      </c>
      <c r="AJ4" t="e">
        <f>AND('Ark1'!B90,"AAAAAG/m0iM=")</f>
        <v>#VALUE!</v>
      </c>
      <c r="AK4" t="e">
        <f>AND('Ark1'!C90,"AAAAAG/m0iQ=")</f>
        <v>#VALUE!</v>
      </c>
      <c r="AL4" t="e">
        <f>AND('Ark1'!D90,"AAAAAG/m0iU=")</f>
        <v>#VALUE!</v>
      </c>
      <c r="AM4" t="e">
        <f>AND('Ark1'!E90,"AAAAAG/m0iY=")</f>
        <v>#VALUE!</v>
      </c>
      <c r="AN4" t="e">
        <f>AND('Ark1'!F90,"AAAAAG/m0ic=")</f>
        <v>#VALUE!</v>
      </c>
      <c r="AO4" t="e">
        <f>AND('Ark1'!G90,"AAAAAG/m0ig=")</f>
        <v>#VALUE!</v>
      </c>
      <c r="AP4" t="e">
        <f>AND('Ark1'!H90,"AAAAAG/m0ik=")</f>
        <v>#VALUE!</v>
      </c>
      <c r="AQ4">
        <f>IF('Ark1'!91:91,"AAAAAG/m0io=",0)</f>
        <v>0</v>
      </c>
      <c r="AR4" t="e">
        <f>AND('Ark1'!A91,"AAAAAG/m0is=")</f>
        <v>#VALUE!</v>
      </c>
      <c r="AS4" t="e">
        <f>AND('Ark1'!B91,"AAAAAG/m0iw=")</f>
        <v>#VALUE!</v>
      </c>
      <c r="AT4" t="e">
        <f>AND('Ark1'!C91,"AAAAAG/m0i0=")</f>
        <v>#VALUE!</v>
      </c>
      <c r="AU4" t="e">
        <f>AND('Ark1'!D91,"AAAAAG/m0i4=")</f>
        <v>#VALUE!</v>
      </c>
      <c r="AV4" t="e">
        <f>AND('Ark1'!E91,"AAAAAG/m0i8=")</f>
        <v>#VALUE!</v>
      </c>
      <c r="AW4" t="e">
        <f>AND('Ark1'!F91,"AAAAAG/m0jA=")</f>
        <v>#VALUE!</v>
      </c>
      <c r="AX4" t="e">
        <f>AND('Ark1'!G91,"AAAAAG/m0jE=")</f>
        <v>#VALUE!</v>
      </c>
      <c r="AY4" t="e">
        <f>AND('Ark1'!H91,"AAAAAG/m0jI=")</f>
        <v>#VALUE!</v>
      </c>
      <c r="AZ4">
        <f>IF('Ark1'!92:92,"AAAAAG/m0jM=",0)</f>
        <v>0</v>
      </c>
      <c r="BA4" t="e">
        <f>AND('Ark1'!A92,"AAAAAG/m0jQ=")</f>
        <v>#VALUE!</v>
      </c>
      <c r="BB4" t="e">
        <f>AND('Ark1'!B92,"AAAAAG/m0jU=")</f>
        <v>#VALUE!</v>
      </c>
      <c r="BC4" t="e">
        <f>AND('Ark1'!C92,"AAAAAG/m0jY=")</f>
        <v>#VALUE!</v>
      </c>
      <c r="BD4" t="e">
        <f>AND('Ark1'!D92,"AAAAAG/m0jc=")</f>
        <v>#VALUE!</v>
      </c>
      <c r="BE4" t="e">
        <f>AND('Ark1'!E92,"AAAAAG/m0jg=")</f>
        <v>#VALUE!</v>
      </c>
      <c r="BF4" t="e">
        <f>AND('Ark1'!F92,"AAAAAG/m0jk=")</f>
        <v>#VALUE!</v>
      </c>
      <c r="BG4" t="e">
        <f>AND('Ark1'!G92,"AAAAAG/m0jo=")</f>
        <v>#VALUE!</v>
      </c>
      <c r="BH4" t="e">
        <f>AND('Ark1'!H92,"AAAAAG/m0js=")</f>
        <v>#VALUE!</v>
      </c>
      <c r="BI4">
        <f>IF('Ark1'!93:93,"AAAAAG/m0jw=",0)</f>
        <v>0</v>
      </c>
      <c r="BJ4" t="e">
        <f>AND('Ark1'!A93,"AAAAAG/m0j0=")</f>
        <v>#VALUE!</v>
      </c>
      <c r="BK4" t="e">
        <f>AND('Ark1'!B93,"AAAAAG/m0j4=")</f>
        <v>#VALUE!</v>
      </c>
      <c r="BL4" t="e">
        <f>AND('Ark1'!C93,"AAAAAG/m0j8=")</f>
        <v>#VALUE!</v>
      </c>
      <c r="BM4" t="e">
        <f>AND('Ark1'!D93,"AAAAAG/m0kA=")</f>
        <v>#VALUE!</v>
      </c>
      <c r="BN4" t="e">
        <f>AND('Ark1'!E93,"AAAAAG/m0kE=")</f>
        <v>#VALUE!</v>
      </c>
      <c r="BO4" t="e">
        <f>AND('Ark1'!F93,"AAAAAG/m0kI=")</f>
        <v>#VALUE!</v>
      </c>
      <c r="BP4" t="e">
        <f>AND('Ark1'!G93,"AAAAAG/m0kM=")</f>
        <v>#VALUE!</v>
      </c>
      <c r="BQ4" t="e">
        <f>AND('Ark1'!H93,"AAAAAG/m0kQ=")</f>
        <v>#VALUE!</v>
      </c>
      <c r="BR4">
        <f>IF('Ark1'!94:94,"AAAAAG/m0kU=",0)</f>
        <v>0</v>
      </c>
      <c r="BS4" t="e">
        <f>AND('Ark1'!A94,"AAAAAG/m0kY=")</f>
        <v>#VALUE!</v>
      </c>
      <c r="BT4" t="e">
        <f>AND('Ark1'!B94,"AAAAAG/m0kc=")</f>
        <v>#VALUE!</v>
      </c>
      <c r="BU4" t="e">
        <f>AND('Ark1'!C94,"AAAAAG/m0kg=")</f>
        <v>#VALUE!</v>
      </c>
      <c r="BV4" t="e">
        <f>AND('Ark1'!D94,"AAAAAG/m0kk=")</f>
        <v>#VALUE!</v>
      </c>
      <c r="BW4" t="e">
        <f>AND('Ark1'!E94,"AAAAAG/m0ko=")</f>
        <v>#VALUE!</v>
      </c>
      <c r="BX4" t="e">
        <f>AND('Ark1'!F94,"AAAAAG/m0ks=")</f>
        <v>#VALUE!</v>
      </c>
      <c r="BY4" t="e">
        <f>AND('Ark1'!G94,"AAAAAG/m0kw=")</f>
        <v>#VALUE!</v>
      </c>
      <c r="BZ4" t="e">
        <f>AND('Ark1'!H94,"AAAAAG/m0k0=")</f>
        <v>#VALUE!</v>
      </c>
      <c r="CA4">
        <f>IF('Ark1'!95:95,"AAAAAG/m0k4=",0)</f>
        <v>0</v>
      </c>
      <c r="CB4" t="e">
        <f>AND('Ark1'!A95,"AAAAAG/m0k8=")</f>
        <v>#VALUE!</v>
      </c>
      <c r="CC4" t="e">
        <f>AND('Ark1'!B95,"AAAAAG/m0lA=")</f>
        <v>#VALUE!</v>
      </c>
      <c r="CD4" t="e">
        <f>AND('Ark1'!C95,"AAAAAG/m0lE=")</f>
        <v>#VALUE!</v>
      </c>
      <c r="CE4" t="e">
        <f>AND('Ark1'!D95,"AAAAAG/m0lI=")</f>
        <v>#VALUE!</v>
      </c>
      <c r="CF4" t="e">
        <f>AND('Ark1'!E95,"AAAAAG/m0lM=")</f>
        <v>#VALUE!</v>
      </c>
      <c r="CG4" t="e">
        <f>AND('Ark1'!F95,"AAAAAG/m0lQ=")</f>
        <v>#VALUE!</v>
      </c>
      <c r="CH4" t="e">
        <f>AND('Ark1'!G95,"AAAAAG/m0lU=")</f>
        <v>#VALUE!</v>
      </c>
      <c r="CI4" t="e">
        <f>AND('Ark1'!H95,"AAAAAG/m0lY=")</f>
        <v>#VALUE!</v>
      </c>
      <c r="CJ4">
        <f>IF('Ark1'!96:96,"AAAAAG/m0lc=",0)</f>
        <v>0</v>
      </c>
      <c r="CK4" t="e">
        <f>AND('Ark1'!A96,"AAAAAG/m0lg=")</f>
        <v>#VALUE!</v>
      </c>
      <c r="CL4" t="e">
        <f>AND('Ark1'!B96,"AAAAAG/m0lk=")</f>
        <v>#VALUE!</v>
      </c>
      <c r="CM4" t="e">
        <f>AND('Ark1'!C96,"AAAAAG/m0lo=")</f>
        <v>#VALUE!</v>
      </c>
      <c r="CN4" t="e">
        <f>AND('Ark1'!D96,"AAAAAG/m0ls=")</f>
        <v>#VALUE!</v>
      </c>
      <c r="CO4" t="e">
        <f>AND('Ark1'!E96,"AAAAAG/m0lw=")</f>
        <v>#VALUE!</v>
      </c>
      <c r="CP4" t="e">
        <f>AND('Ark1'!F96,"AAAAAG/m0l0=")</f>
        <v>#VALUE!</v>
      </c>
      <c r="CQ4" t="e">
        <f>AND('Ark1'!G96,"AAAAAG/m0l4=")</f>
        <v>#VALUE!</v>
      </c>
      <c r="CR4" t="e">
        <f>AND('Ark1'!H96,"AAAAAG/m0l8=")</f>
        <v>#VALUE!</v>
      </c>
      <c r="CS4">
        <f>IF('Ark1'!97:97,"AAAAAG/m0mA=",0)</f>
        <v>0</v>
      </c>
      <c r="CT4" t="e">
        <f>AND('Ark1'!A97,"AAAAAG/m0mE=")</f>
        <v>#VALUE!</v>
      </c>
      <c r="CU4" t="e">
        <f>AND('Ark1'!B97,"AAAAAG/m0mI=")</f>
        <v>#VALUE!</v>
      </c>
      <c r="CV4" t="e">
        <f>AND('Ark1'!C97,"AAAAAG/m0mM=")</f>
        <v>#VALUE!</v>
      </c>
      <c r="CW4" t="e">
        <f>AND('Ark1'!D97,"AAAAAG/m0mQ=")</f>
        <v>#VALUE!</v>
      </c>
      <c r="CX4" t="e">
        <f>AND('Ark1'!E97,"AAAAAG/m0mU=")</f>
        <v>#VALUE!</v>
      </c>
      <c r="CY4" t="e">
        <f>AND('Ark1'!F97,"AAAAAG/m0mY=")</f>
        <v>#VALUE!</v>
      </c>
      <c r="CZ4" t="e">
        <f>AND('Ark1'!G97,"AAAAAG/m0mc=")</f>
        <v>#VALUE!</v>
      </c>
      <c r="DA4" t="e">
        <f>AND('Ark1'!H97,"AAAAAG/m0mg=")</f>
        <v>#VALUE!</v>
      </c>
      <c r="DB4">
        <f>IF('Ark1'!98:98,"AAAAAG/m0mk=",0)</f>
        <v>0</v>
      </c>
      <c r="DC4" t="e">
        <f>AND('Ark1'!A98,"AAAAAG/m0mo=")</f>
        <v>#VALUE!</v>
      </c>
      <c r="DD4" t="e">
        <f>AND('Ark1'!B98,"AAAAAG/m0ms=")</f>
        <v>#VALUE!</v>
      </c>
      <c r="DE4" t="e">
        <f>AND('Ark1'!C98,"AAAAAG/m0mw=")</f>
        <v>#VALUE!</v>
      </c>
      <c r="DF4" t="e">
        <f>AND('Ark1'!D98,"AAAAAG/m0m0=")</f>
        <v>#VALUE!</v>
      </c>
      <c r="DG4" t="e">
        <f>AND('Ark1'!E98,"AAAAAG/m0m4=")</f>
        <v>#VALUE!</v>
      </c>
      <c r="DH4" t="e">
        <f>AND('Ark1'!F98,"AAAAAG/m0m8=")</f>
        <v>#VALUE!</v>
      </c>
      <c r="DI4" t="e">
        <f>AND('Ark1'!G98,"AAAAAG/m0nA=")</f>
        <v>#VALUE!</v>
      </c>
      <c r="DJ4" t="e">
        <f>AND('Ark1'!H98,"AAAAAG/m0nE=")</f>
        <v>#VALUE!</v>
      </c>
      <c r="DK4">
        <f>IF('Ark1'!99:99,"AAAAAG/m0nI=",0)</f>
        <v>0</v>
      </c>
      <c r="DL4" t="e">
        <f>AND('Ark1'!A99,"AAAAAG/m0nM=")</f>
        <v>#VALUE!</v>
      </c>
      <c r="DM4" t="e">
        <f>AND('Ark1'!B99,"AAAAAG/m0nQ=")</f>
        <v>#VALUE!</v>
      </c>
      <c r="DN4" t="e">
        <f>AND('Ark1'!C99,"AAAAAG/m0nU=")</f>
        <v>#VALUE!</v>
      </c>
      <c r="DO4" t="e">
        <f>AND('Ark1'!D99,"AAAAAG/m0nY=")</f>
        <v>#VALUE!</v>
      </c>
      <c r="DP4" t="e">
        <f>AND('Ark1'!E99,"AAAAAG/m0nc=")</f>
        <v>#VALUE!</v>
      </c>
      <c r="DQ4" t="e">
        <f>AND('Ark1'!F99,"AAAAAG/m0ng=")</f>
        <v>#VALUE!</v>
      </c>
      <c r="DR4" t="e">
        <f>AND('Ark1'!G99,"AAAAAG/m0nk=")</f>
        <v>#VALUE!</v>
      </c>
      <c r="DS4" t="e">
        <f>AND('Ark1'!H99,"AAAAAG/m0no=")</f>
        <v>#VALUE!</v>
      </c>
      <c r="DT4">
        <f>IF('Ark1'!100:100,"AAAAAG/m0ns=",0)</f>
        <v>0</v>
      </c>
      <c r="DU4" t="e">
        <f>AND('Ark1'!A100,"AAAAAG/m0nw=")</f>
        <v>#VALUE!</v>
      </c>
      <c r="DV4" t="e">
        <f>AND('Ark1'!B100,"AAAAAG/m0n0=")</f>
        <v>#VALUE!</v>
      </c>
      <c r="DW4" t="e">
        <f>AND('Ark1'!C100,"AAAAAG/m0n4=")</f>
        <v>#VALUE!</v>
      </c>
      <c r="DX4" t="e">
        <f>AND('Ark1'!D100,"AAAAAG/m0n8=")</f>
        <v>#VALUE!</v>
      </c>
      <c r="DY4" t="e">
        <f>AND('Ark1'!E100,"AAAAAG/m0oA=")</f>
        <v>#VALUE!</v>
      </c>
      <c r="DZ4" t="e">
        <f>AND('Ark1'!F100,"AAAAAG/m0oE=")</f>
        <v>#VALUE!</v>
      </c>
      <c r="EA4" t="e">
        <f>AND('Ark1'!G100,"AAAAAG/m0oI=")</f>
        <v>#VALUE!</v>
      </c>
      <c r="EB4" t="e">
        <f>AND('Ark1'!H100,"AAAAAG/m0oM=")</f>
        <v>#VALUE!</v>
      </c>
      <c r="EC4">
        <f>IF('Ark1'!101:101,"AAAAAG/m0oQ=",0)</f>
        <v>0</v>
      </c>
      <c r="ED4" t="e">
        <f>AND('Ark1'!A101,"AAAAAG/m0oU=")</f>
        <v>#VALUE!</v>
      </c>
      <c r="EE4" t="e">
        <f>AND('Ark1'!B101,"AAAAAG/m0oY=")</f>
        <v>#VALUE!</v>
      </c>
      <c r="EF4" t="e">
        <f>AND('Ark1'!C101,"AAAAAG/m0oc=")</f>
        <v>#VALUE!</v>
      </c>
      <c r="EG4" t="e">
        <f>AND('Ark1'!D101,"AAAAAG/m0og=")</f>
        <v>#VALUE!</v>
      </c>
      <c r="EH4" t="e">
        <f>AND('Ark1'!E101,"AAAAAG/m0ok=")</f>
        <v>#VALUE!</v>
      </c>
      <c r="EI4" t="e">
        <f>AND('Ark1'!F101,"AAAAAG/m0oo=")</f>
        <v>#VALUE!</v>
      </c>
      <c r="EJ4" t="e">
        <f>AND('Ark1'!G101,"AAAAAG/m0os=")</f>
        <v>#VALUE!</v>
      </c>
      <c r="EK4" t="e">
        <f>AND('Ark1'!H101,"AAAAAG/m0ow=")</f>
        <v>#VALUE!</v>
      </c>
      <c r="EL4">
        <f>IF('Ark1'!102:102,"AAAAAG/m0o0=",0)</f>
        <v>0</v>
      </c>
      <c r="EM4" t="e">
        <f>AND('Ark1'!A102,"AAAAAG/m0o4=")</f>
        <v>#VALUE!</v>
      </c>
      <c r="EN4" t="e">
        <f>AND('Ark1'!B102,"AAAAAG/m0o8=")</f>
        <v>#VALUE!</v>
      </c>
      <c r="EO4" t="e">
        <f>AND('Ark1'!C102,"AAAAAG/m0pA=")</f>
        <v>#VALUE!</v>
      </c>
      <c r="EP4" t="e">
        <f>AND('Ark1'!D102,"AAAAAG/m0pE=")</f>
        <v>#VALUE!</v>
      </c>
      <c r="EQ4" t="e">
        <f>AND('Ark1'!E102,"AAAAAG/m0pI=")</f>
        <v>#VALUE!</v>
      </c>
      <c r="ER4" t="e">
        <f>AND('Ark1'!F102,"AAAAAG/m0pM=")</f>
        <v>#VALUE!</v>
      </c>
      <c r="ES4" t="e">
        <f>AND('Ark1'!G102,"AAAAAG/m0pQ=")</f>
        <v>#VALUE!</v>
      </c>
      <c r="ET4" t="e">
        <f>AND('Ark1'!H102,"AAAAAG/m0pU=")</f>
        <v>#VALUE!</v>
      </c>
      <c r="EU4">
        <f>IF('Ark1'!103:103,"AAAAAG/m0pY=",0)</f>
        <v>0</v>
      </c>
      <c r="EV4" t="e">
        <f>AND('Ark1'!A103,"AAAAAG/m0pc=")</f>
        <v>#VALUE!</v>
      </c>
      <c r="EW4" t="e">
        <f>AND('Ark1'!B103,"AAAAAG/m0pg=")</f>
        <v>#VALUE!</v>
      </c>
      <c r="EX4" t="e">
        <f>AND('Ark1'!C103,"AAAAAG/m0pk=")</f>
        <v>#VALUE!</v>
      </c>
      <c r="EY4" t="e">
        <f>AND('Ark1'!D103,"AAAAAG/m0po=")</f>
        <v>#VALUE!</v>
      </c>
      <c r="EZ4" t="e">
        <f>AND('Ark1'!E103,"AAAAAG/m0ps=")</f>
        <v>#VALUE!</v>
      </c>
      <c r="FA4" t="e">
        <f>AND('Ark1'!F103,"AAAAAG/m0pw=")</f>
        <v>#VALUE!</v>
      </c>
      <c r="FB4" t="e">
        <f>AND('Ark1'!G103,"AAAAAG/m0p0=")</f>
        <v>#VALUE!</v>
      </c>
      <c r="FC4" t="e">
        <f>AND('Ark1'!H103,"AAAAAG/m0p4=")</f>
        <v>#VALUE!</v>
      </c>
      <c r="FD4">
        <f>IF('Ark1'!104:104,"AAAAAG/m0p8=",0)</f>
        <v>0</v>
      </c>
      <c r="FE4" t="e">
        <f>AND('Ark1'!A104,"AAAAAG/m0qA=")</f>
        <v>#VALUE!</v>
      </c>
      <c r="FF4" t="e">
        <f>AND('Ark1'!B104,"AAAAAG/m0qE=")</f>
        <v>#VALUE!</v>
      </c>
      <c r="FG4" t="e">
        <f>AND('Ark1'!C104,"AAAAAG/m0qI=")</f>
        <v>#VALUE!</v>
      </c>
      <c r="FH4" t="e">
        <f>AND('Ark1'!D104,"AAAAAG/m0qM=")</f>
        <v>#VALUE!</v>
      </c>
      <c r="FI4" t="e">
        <f>AND('Ark1'!E104,"AAAAAG/m0qQ=")</f>
        <v>#VALUE!</v>
      </c>
      <c r="FJ4" t="e">
        <f>AND('Ark1'!F104,"AAAAAG/m0qU=")</f>
        <v>#VALUE!</v>
      </c>
      <c r="FK4" t="e">
        <f>AND('Ark1'!G104,"AAAAAG/m0qY=")</f>
        <v>#VALUE!</v>
      </c>
      <c r="FL4" t="e">
        <f>AND('Ark1'!H104,"AAAAAG/m0qc=")</f>
        <v>#VALUE!</v>
      </c>
      <c r="FM4">
        <f>IF('Ark1'!105:105,"AAAAAG/m0qg=",0)</f>
        <v>0</v>
      </c>
      <c r="FN4" t="e">
        <f>AND('Ark1'!A105,"AAAAAG/m0qk=")</f>
        <v>#VALUE!</v>
      </c>
      <c r="FO4" t="e">
        <f>AND('Ark1'!B105,"AAAAAG/m0qo=")</f>
        <v>#VALUE!</v>
      </c>
      <c r="FP4" t="e">
        <f>AND('Ark1'!C105,"AAAAAG/m0qs=")</f>
        <v>#VALUE!</v>
      </c>
      <c r="FQ4" t="e">
        <f>AND('Ark1'!D105,"AAAAAG/m0qw=")</f>
        <v>#VALUE!</v>
      </c>
      <c r="FR4" t="e">
        <f>AND('Ark1'!E105,"AAAAAG/m0q0=")</f>
        <v>#VALUE!</v>
      </c>
      <c r="FS4" t="e">
        <f>AND('Ark1'!F105,"AAAAAG/m0q4=")</f>
        <v>#VALUE!</v>
      </c>
      <c r="FT4" t="e">
        <f>AND('Ark1'!G105,"AAAAAG/m0q8=")</f>
        <v>#VALUE!</v>
      </c>
      <c r="FU4" t="e">
        <f>AND('Ark1'!H105,"AAAAAG/m0rA=")</f>
        <v>#VALUE!</v>
      </c>
      <c r="FV4">
        <f>IF('Ark1'!106:106,"AAAAAG/m0rE=",0)</f>
        <v>0</v>
      </c>
      <c r="FW4" t="e">
        <f>AND('Ark1'!A106,"AAAAAG/m0rI=")</f>
        <v>#VALUE!</v>
      </c>
      <c r="FX4" t="e">
        <f>AND('Ark1'!B106,"AAAAAG/m0rM=")</f>
        <v>#VALUE!</v>
      </c>
      <c r="FY4" t="e">
        <f>AND('Ark1'!C106,"AAAAAG/m0rQ=")</f>
        <v>#VALUE!</v>
      </c>
      <c r="FZ4" t="e">
        <f>AND('Ark1'!D106,"AAAAAG/m0rU=")</f>
        <v>#VALUE!</v>
      </c>
      <c r="GA4" t="e">
        <f>AND('Ark1'!E106,"AAAAAG/m0rY=")</f>
        <v>#VALUE!</v>
      </c>
      <c r="GB4" t="e">
        <f>AND('Ark1'!F106,"AAAAAG/m0rc=")</f>
        <v>#VALUE!</v>
      </c>
      <c r="GC4" t="e">
        <f>AND('Ark1'!G106,"AAAAAG/m0rg=")</f>
        <v>#VALUE!</v>
      </c>
      <c r="GD4" t="e">
        <f>AND('Ark1'!H106,"AAAAAG/m0rk=")</f>
        <v>#VALUE!</v>
      </c>
      <c r="GE4">
        <f>IF('Ark1'!107:107,"AAAAAG/m0ro=",0)</f>
        <v>0</v>
      </c>
      <c r="GF4" t="e">
        <f>AND('Ark1'!A107,"AAAAAG/m0rs=")</f>
        <v>#VALUE!</v>
      </c>
      <c r="GG4" t="e">
        <f>AND('Ark1'!B107,"AAAAAG/m0rw=")</f>
        <v>#VALUE!</v>
      </c>
      <c r="GH4" t="e">
        <f>AND('Ark1'!C107,"AAAAAG/m0r0=")</f>
        <v>#VALUE!</v>
      </c>
      <c r="GI4" t="e">
        <f>AND('Ark1'!D107,"AAAAAG/m0r4=")</f>
        <v>#VALUE!</v>
      </c>
      <c r="GJ4" t="e">
        <f>AND('Ark1'!E107,"AAAAAG/m0r8=")</f>
        <v>#VALUE!</v>
      </c>
      <c r="GK4" t="e">
        <f>AND('Ark1'!F107,"AAAAAG/m0sA=")</f>
        <v>#VALUE!</v>
      </c>
      <c r="GL4" t="e">
        <f>AND('Ark1'!G107,"AAAAAG/m0sE=")</f>
        <v>#VALUE!</v>
      </c>
      <c r="GM4" t="e">
        <f>AND('Ark1'!H107,"AAAAAG/m0sI=")</f>
        <v>#VALUE!</v>
      </c>
      <c r="GN4">
        <f>IF('Ark1'!108:108,"AAAAAG/m0sM=",0)</f>
        <v>0</v>
      </c>
      <c r="GO4" t="e">
        <f>AND('Ark1'!A108,"AAAAAG/m0sQ=")</f>
        <v>#VALUE!</v>
      </c>
      <c r="GP4" t="e">
        <f>AND('Ark1'!B108,"AAAAAG/m0sU=")</f>
        <v>#VALUE!</v>
      </c>
      <c r="GQ4" t="e">
        <f>AND('Ark1'!C108,"AAAAAG/m0sY=")</f>
        <v>#VALUE!</v>
      </c>
      <c r="GR4" t="e">
        <f>AND('Ark1'!D108,"AAAAAG/m0sc=")</f>
        <v>#VALUE!</v>
      </c>
      <c r="GS4" t="e">
        <f>AND('Ark1'!E108,"AAAAAG/m0sg=")</f>
        <v>#VALUE!</v>
      </c>
      <c r="GT4" t="e">
        <f>AND('Ark1'!F108,"AAAAAG/m0sk=")</f>
        <v>#VALUE!</v>
      </c>
      <c r="GU4" t="e">
        <f>AND('Ark1'!G108,"AAAAAG/m0so=")</f>
        <v>#VALUE!</v>
      </c>
      <c r="GV4" t="e">
        <f>AND('Ark1'!H108,"AAAAAG/m0ss=")</f>
        <v>#VALUE!</v>
      </c>
      <c r="GW4">
        <f>IF('Ark1'!109:109,"AAAAAG/m0sw=",0)</f>
        <v>0</v>
      </c>
      <c r="GX4" t="e">
        <f>AND('Ark1'!A109,"AAAAAG/m0s0=")</f>
        <v>#VALUE!</v>
      </c>
      <c r="GY4" t="e">
        <f>AND('Ark1'!B109,"AAAAAG/m0s4=")</f>
        <v>#VALUE!</v>
      </c>
      <c r="GZ4" t="e">
        <f>AND('Ark1'!C109,"AAAAAG/m0s8=")</f>
        <v>#VALUE!</v>
      </c>
      <c r="HA4" t="e">
        <f>AND('Ark1'!D109,"AAAAAG/m0tA=")</f>
        <v>#VALUE!</v>
      </c>
      <c r="HB4" t="e">
        <f>AND('Ark1'!E109,"AAAAAG/m0tE=")</f>
        <v>#VALUE!</v>
      </c>
      <c r="HC4" t="e">
        <f>AND('Ark1'!F109,"AAAAAG/m0tI=")</f>
        <v>#VALUE!</v>
      </c>
      <c r="HD4" t="e">
        <f>AND('Ark1'!G109,"AAAAAG/m0tM=")</f>
        <v>#VALUE!</v>
      </c>
      <c r="HE4" t="e">
        <f>AND('Ark1'!H109,"AAAAAG/m0tQ=")</f>
        <v>#VALUE!</v>
      </c>
      <c r="HF4">
        <f>IF('Ark1'!110:110,"AAAAAG/m0tU=",0)</f>
        <v>0</v>
      </c>
      <c r="HG4" t="e">
        <f>AND('Ark1'!A110,"AAAAAG/m0tY=")</f>
        <v>#VALUE!</v>
      </c>
      <c r="HH4" t="e">
        <f>AND('Ark1'!B110,"AAAAAG/m0tc=")</f>
        <v>#VALUE!</v>
      </c>
      <c r="HI4" t="e">
        <f>AND('Ark1'!C110,"AAAAAG/m0tg=")</f>
        <v>#VALUE!</v>
      </c>
      <c r="HJ4" t="e">
        <f>AND('Ark1'!D110,"AAAAAG/m0tk=")</f>
        <v>#VALUE!</v>
      </c>
      <c r="HK4" t="e">
        <f>AND('Ark1'!E110,"AAAAAG/m0to=")</f>
        <v>#VALUE!</v>
      </c>
      <c r="HL4" t="e">
        <f>AND('Ark1'!F110,"AAAAAG/m0ts=")</f>
        <v>#VALUE!</v>
      </c>
      <c r="HM4" t="e">
        <f>AND('Ark1'!G110,"AAAAAG/m0tw=")</f>
        <v>#VALUE!</v>
      </c>
      <c r="HN4" t="e">
        <f>AND('Ark1'!H110,"AAAAAG/m0t0=")</f>
        <v>#VALUE!</v>
      </c>
      <c r="HO4">
        <f>IF('Ark1'!111:111,"AAAAAG/m0t4=",0)</f>
        <v>0</v>
      </c>
      <c r="HP4" t="e">
        <f>AND('Ark1'!A111,"AAAAAG/m0t8=")</f>
        <v>#VALUE!</v>
      </c>
      <c r="HQ4" t="e">
        <f>AND('Ark1'!B111,"AAAAAG/m0uA=")</f>
        <v>#VALUE!</v>
      </c>
      <c r="HR4" t="e">
        <f>AND('Ark1'!C111,"AAAAAG/m0uE=")</f>
        <v>#VALUE!</v>
      </c>
      <c r="HS4" t="e">
        <f>AND('Ark1'!D111,"AAAAAG/m0uI=")</f>
        <v>#VALUE!</v>
      </c>
      <c r="HT4" t="e">
        <f>AND('Ark1'!E111,"AAAAAG/m0uM=")</f>
        <v>#VALUE!</v>
      </c>
      <c r="HU4" t="e">
        <f>AND('Ark1'!F111,"AAAAAG/m0uQ=")</f>
        <v>#VALUE!</v>
      </c>
      <c r="HV4" t="e">
        <f>AND('Ark1'!G111,"AAAAAG/m0uU=")</f>
        <v>#VALUE!</v>
      </c>
      <c r="HW4" t="e">
        <f>AND('Ark1'!H111,"AAAAAG/m0uY=")</f>
        <v>#VALUE!</v>
      </c>
      <c r="HX4">
        <f>IF('Ark1'!112:112,"AAAAAG/m0uc=",0)</f>
        <v>0</v>
      </c>
      <c r="HY4" t="e">
        <f>AND('Ark1'!A112,"AAAAAG/m0ug=")</f>
        <v>#VALUE!</v>
      </c>
      <c r="HZ4" t="e">
        <f>AND('Ark1'!B112,"AAAAAG/m0uk=")</f>
        <v>#VALUE!</v>
      </c>
      <c r="IA4" t="e">
        <f>AND('Ark1'!C112,"AAAAAG/m0uo=")</f>
        <v>#VALUE!</v>
      </c>
      <c r="IB4" t="e">
        <f>AND('Ark1'!D112,"AAAAAG/m0us=")</f>
        <v>#VALUE!</v>
      </c>
      <c r="IC4" t="e">
        <f>AND('Ark1'!E112,"AAAAAG/m0uw=")</f>
        <v>#VALUE!</v>
      </c>
      <c r="ID4" t="e">
        <f>AND('Ark1'!F112,"AAAAAG/m0u0=")</f>
        <v>#VALUE!</v>
      </c>
      <c r="IE4" t="e">
        <f>AND('Ark1'!G112,"AAAAAG/m0u4=")</f>
        <v>#VALUE!</v>
      </c>
      <c r="IF4" t="e">
        <f>AND('Ark1'!H112,"AAAAAG/m0u8=")</f>
        <v>#VALUE!</v>
      </c>
      <c r="IG4">
        <f>IF('Ark1'!113:113,"AAAAAG/m0vA=",0)</f>
        <v>0</v>
      </c>
      <c r="IH4" t="e">
        <f>AND('Ark1'!A113,"AAAAAG/m0vE=")</f>
        <v>#VALUE!</v>
      </c>
      <c r="II4" t="e">
        <f>AND('Ark1'!B113,"AAAAAG/m0vI=")</f>
        <v>#VALUE!</v>
      </c>
      <c r="IJ4" t="e">
        <f>AND('Ark1'!C113,"AAAAAG/m0vM=")</f>
        <v>#VALUE!</v>
      </c>
      <c r="IK4" t="e">
        <f>AND('Ark1'!D113,"AAAAAG/m0vQ=")</f>
        <v>#VALUE!</v>
      </c>
      <c r="IL4" t="e">
        <f>AND('Ark1'!E113,"AAAAAG/m0vU=")</f>
        <v>#VALUE!</v>
      </c>
      <c r="IM4" t="e">
        <f>AND('Ark1'!F113,"AAAAAG/m0vY=")</f>
        <v>#VALUE!</v>
      </c>
      <c r="IN4" t="e">
        <f>AND('Ark1'!G113,"AAAAAG/m0vc=")</f>
        <v>#VALUE!</v>
      </c>
      <c r="IO4" t="e">
        <f>AND('Ark1'!H113,"AAAAAG/m0vg=")</f>
        <v>#VALUE!</v>
      </c>
      <c r="IP4">
        <f>IF('Ark1'!114:114,"AAAAAG/m0vk=",0)</f>
        <v>0</v>
      </c>
      <c r="IQ4" t="e">
        <f>AND('Ark1'!A114,"AAAAAG/m0vo=")</f>
        <v>#VALUE!</v>
      </c>
      <c r="IR4" t="e">
        <f>AND('Ark1'!B114,"AAAAAG/m0vs=")</f>
        <v>#VALUE!</v>
      </c>
      <c r="IS4" t="e">
        <f>AND('Ark1'!C114,"AAAAAG/m0vw=")</f>
        <v>#VALUE!</v>
      </c>
      <c r="IT4" t="e">
        <f>AND('Ark1'!D114,"AAAAAG/m0v0=")</f>
        <v>#VALUE!</v>
      </c>
      <c r="IU4" t="e">
        <f>AND('Ark1'!E114,"AAAAAG/m0v4=")</f>
        <v>#VALUE!</v>
      </c>
      <c r="IV4" t="e">
        <f>AND('Ark1'!F114,"AAAAAG/m0v8=")</f>
        <v>#VALUE!</v>
      </c>
    </row>
    <row r="5" spans="1:256" x14ac:dyDescent="0.25">
      <c r="A5" t="e">
        <f>AND('Ark1'!G114,"AAAAAF8LfwA=")</f>
        <v>#VALUE!</v>
      </c>
      <c r="B5" t="e">
        <f>AND('Ark1'!H114,"AAAAAF8LfwE=")</f>
        <v>#VALUE!</v>
      </c>
      <c r="C5">
        <f>IF('Ark1'!115:115,"AAAAAF8LfwI=",0)</f>
        <v>0</v>
      </c>
      <c r="D5" t="e">
        <f>AND('Ark1'!A115,"AAAAAF8LfwM=")</f>
        <v>#VALUE!</v>
      </c>
      <c r="E5" t="e">
        <f>AND('Ark1'!B115,"AAAAAF8LfwQ=")</f>
        <v>#VALUE!</v>
      </c>
      <c r="F5" t="e">
        <f>AND('Ark1'!C115,"AAAAAF8LfwU=")</f>
        <v>#VALUE!</v>
      </c>
      <c r="G5" t="e">
        <f>AND('Ark1'!D115,"AAAAAF8LfwY=")</f>
        <v>#VALUE!</v>
      </c>
      <c r="H5" t="e">
        <f>AND('Ark1'!E115,"AAAAAF8Lfwc=")</f>
        <v>#VALUE!</v>
      </c>
      <c r="I5" t="e">
        <f>AND('Ark1'!F115,"AAAAAF8Lfwg=")</f>
        <v>#VALUE!</v>
      </c>
      <c r="J5" t="e">
        <f>AND('Ark1'!G115,"AAAAAF8Lfwk=")</f>
        <v>#VALUE!</v>
      </c>
      <c r="K5" t="e">
        <f>AND('Ark1'!H115,"AAAAAF8Lfwo=")</f>
        <v>#VALUE!</v>
      </c>
      <c r="L5">
        <f>IF('Ark1'!116:116,"AAAAAF8Lfws=",0)</f>
        <v>0</v>
      </c>
      <c r="M5" t="e">
        <f>AND('Ark1'!A116,"AAAAAF8Lfww=")</f>
        <v>#VALUE!</v>
      </c>
      <c r="N5" t="e">
        <f>AND('Ark1'!B116,"AAAAAF8Lfw0=")</f>
        <v>#VALUE!</v>
      </c>
      <c r="O5" t="e">
        <f>AND('Ark1'!C116,"AAAAAF8Lfw4=")</f>
        <v>#VALUE!</v>
      </c>
      <c r="P5" t="e">
        <f>AND('Ark1'!D116,"AAAAAF8Lfw8=")</f>
        <v>#VALUE!</v>
      </c>
      <c r="Q5" t="e">
        <f>AND('Ark1'!E116,"AAAAAF8LfxA=")</f>
        <v>#VALUE!</v>
      </c>
      <c r="R5" t="e">
        <f>AND('Ark1'!F116,"AAAAAF8LfxE=")</f>
        <v>#VALUE!</v>
      </c>
      <c r="S5" t="e">
        <f>AND('Ark1'!G116,"AAAAAF8LfxI=")</f>
        <v>#VALUE!</v>
      </c>
      <c r="T5" t="e">
        <f>AND('Ark1'!H116,"AAAAAF8LfxM=")</f>
        <v>#VALUE!</v>
      </c>
      <c r="U5">
        <f>IF('Ark1'!117:117,"AAAAAF8LfxQ=",0)</f>
        <v>0</v>
      </c>
      <c r="V5" t="e">
        <f>AND('Ark1'!A117,"AAAAAF8LfxU=")</f>
        <v>#VALUE!</v>
      </c>
      <c r="W5" t="e">
        <f>AND('Ark1'!B117,"AAAAAF8LfxY=")</f>
        <v>#VALUE!</v>
      </c>
      <c r="X5" t="e">
        <f>AND('Ark1'!C117,"AAAAAF8Lfxc=")</f>
        <v>#VALUE!</v>
      </c>
      <c r="Y5" t="e">
        <f>AND('Ark1'!D117,"AAAAAF8Lfxg=")</f>
        <v>#VALUE!</v>
      </c>
      <c r="Z5" t="e">
        <f>AND('Ark1'!E117,"AAAAAF8Lfxk=")</f>
        <v>#VALUE!</v>
      </c>
      <c r="AA5" t="e">
        <f>AND('Ark1'!F117,"AAAAAF8Lfxo=")</f>
        <v>#VALUE!</v>
      </c>
      <c r="AB5" t="e">
        <f>AND('Ark1'!G117,"AAAAAF8Lfxs=")</f>
        <v>#VALUE!</v>
      </c>
      <c r="AC5" t="e">
        <f>AND('Ark1'!H117,"AAAAAF8Lfxw=")</f>
        <v>#VALUE!</v>
      </c>
      <c r="AD5">
        <f>IF('Ark1'!118:118,"AAAAAF8Lfx0=",0)</f>
        <v>0</v>
      </c>
      <c r="AE5" t="e">
        <f>AND('Ark1'!A118,"AAAAAF8Lfx4=")</f>
        <v>#VALUE!</v>
      </c>
      <c r="AF5" t="e">
        <f>AND('Ark1'!B118,"AAAAAF8Lfx8=")</f>
        <v>#VALUE!</v>
      </c>
      <c r="AG5" t="e">
        <f>AND('Ark1'!C118,"AAAAAF8LfyA=")</f>
        <v>#VALUE!</v>
      </c>
      <c r="AH5" t="e">
        <f>AND('Ark1'!D118,"AAAAAF8LfyE=")</f>
        <v>#VALUE!</v>
      </c>
      <c r="AI5" t="e">
        <f>AND('Ark1'!E118,"AAAAAF8LfyI=")</f>
        <v>#VALUE!</v>
      </c>
      <c r="AJ5" t="e">
        <f>AND('Ark1'!F118,"AAAAAF8LfyM=")</f>
        <v>#VALUE!</v>
      </c>
      <c r="AK5" t="e">
        <f>AND('Ark1'!G118,"AAAAAF8LfyQ=")</f>
        <v>#VALUE!</v>
      </c>
      <c r="AL5" t="e">
        <f>AND('Ark1'!H118,"AAAAAF8LfyU=")</f>
        <v>#VALUE!</v>
      </c>
      <c r="AM5">
        <f>IF('Ark1'!119:119,"AAAAAF8LfyY=",0)</f>
        <v>0</v>
      </c>
      <c r="AN5" t="e">
        <f>AND('Ark1'!A119,"AAAAAF8Lfyc=")</f>
        <v>#VALUE!</v>
      </c>
      <c r="AO5" t="e">
        <f>AND('Ark1'!B119,"AAAAAF8Lfyg=")</f>
        <v>#VALUE!</v>
      </c>
      <c r="AP5" t="e">
        <f>AND('Ark1'!C119,"AAAAAF8Lfyk=")</f>
        <v>#VALUE!</v>
      </c>
      <c r="AQ5" t="e">
        <f>AND('Ark1'!D119,"AAAAAF8Lfyo=")</f>
        <v>#VALUE!</v>
      </c>
      <c r="AR5" t="e">
        <f>AND('Ark1'!E119,"AAAAAF8Lfys=")</f>
        <v>#VALUE!</v>
      </c>
      <c r="AS5" t="e">
        <f>AND('Ark1'!F119,"AAAAAF8Lfyw=")</f>
        <v>#VALUE!</v>
      </c>
      <c r="AT5" t="e">
        <f>AND('Ark1'!G119,"AAAAAF8Lfy0=")</f>
        <v>#VALUE!</v>
      </c>
      <c r="AU5" t="e">
        <f>AND('Ark1'!H119,"AAAAAF8Lfy4=")</f>
        <v>#VALUE!</v>
      </c>
      <c r="AV5">
        <f>IF('Ark1'!120:120,"AAAAAF8Lfy8=",0)</f>
        <v>0</v>
      </c>
      <c r="AW5" t="e">
        <f>AND('Ark1'!A120,"AAAAAF8LfzA=")</f>
        <v>#VALUE!</v>
      </c>
      <c r="AX5" t="e">
        <f>AND('Ark1'!B120,"AAAAAF8LfzE=")</f>
        <v>#VALUE!</v>
      </c>
      <c r="AY5" t="e">
        <f>AND('Ark1'!C120,"AAAAAF8LfzI=")</f>
        <v>#VALUE!</v>
      </c>
      <c r="AZ5" t="e">
        <f>AND('Ark1'!D120,"AAAAAF8LfzM=")</f>
        <v>#VALUE!</v>
      </c>
      <c r="BA5" t="e">
        <f>AND('Ark1'!E120,"AAAAAF8LfzQ=")</f>
        <v>#VALUE!</v>
      </c>
      <c r="BB5" t="e">
        <f>AND('Ark1'!F120,"AAAAAF8LfzU=")</f>
        <v>#VALUE!</v>
      </c>
      <c r="BC5" t="e">
        <f>AND('Ark1'!G120,"AAAAAF8LfzY=")</f>
        <v>#VALUE!</v>
      </c>
      <c r="BD5" t="e">
        <f>AND('Ark1'!H120,"AAAAAF8Lfzc=")</f>
        <v>#VALUE!</v>
      </c>
      <c r="BE5">
        <f>IF('Ark1'!121:121,"AAAAAF8Lfzg=",0)</f>
        <v>0</v>
      </c>
      <c r="BF5" t="e">
        <f>AND('Ark1'!A121,"AAAAAF8Lfzk=")</f>
        <v>#VALUE!</v>
      </c>
      <c r="BG5" t="e">
        <f>AND('Ark1'!B121,"AAAAAF8Lfzo=")</f>
        <v>#VALUE!</v>
      </c>
      <c r="BH5" t="e">
        <f>AND('Ark1'!C121,"AAAAAF8Lfzs=")</f>
        <v>#VALUE!</v>
      </c>
      <c r="BI5" t="e">
        <f>AND('Ark1'!D121,"AAAAAF8Lfzw=")</f>
        <v>#VALUE!</v>
      </c>
      <c r="BJ5" t="e">
        <f>AND('Ark1'!E121,"AAAAAF8Lfz0=")</f>
        <v>#VALUE!</v>
      </c>
      <c r="BK5" t="e">
        <f>AND('Ark1'!F121,"AAAAAF8Lfz4=")</f>
        <v>#VALUE!</v>
      </c>
      <c r="BL5" t="e">
        <f>AND('Ark1'!G121,"AAAAAF8Lfz8=")</f>
        <v>#VALUE!</v>
      </c>
      <c r="BM5" t="e">
        <f>AND('Ark1'!H121,"AAAAAF8Lf0A=")</f>
        <v>#VALUE!</v>
      </c>
      <c r="BN5">
        <f>IF('Ark1'!122:122,"AAAAAF8Lf0E=",0)</f>
        <v>0</v>
      </c>
      <c r="BO5" t="e">
        <f>AND('Ark1'!A122,"AAAAAF8Lf0I=")</f>
        <v>#VALUE!</v>
      </c>
      <c r="BP5" t="e">
        <f>AND('Ark1'!B122,"AAAAAF8Lf0M=")</f>
        <v>#VALUE!</v>
      </c>
      <c r="BQ5" t="e">
        <f>AND('Ark1'!C122,"AAAAAF8Lf0Q=")</f>
        <v>#VALUE!</v>
      </c>
      <c r="BR5" t="e">
        <f>AND('Ark1'!D122,"AAAAAF8Lf0U=")</f>
        <v>#VALUE!</v>
      </c>
      <c r="BS5" t="e">
        <f>AND('Ark1'!E122,"AAAAAF8Lf0Y=")</f>
        <v>#VALUE!</v>
      </c>
      <c r="BT5" t="e">
        <f>AND('Ark1'!F122,"AAAAAF8Lf0c=")</f>
        <v>#VALUE!</v>
      </c>
      <c r="BU5" t="e">
        <f>AND('Ark1'!G122,"AAAAAF8Lf0g=")</f>
        <v>#VALUE!</v>
      </c>
      <c r="BV5" t="e">
        <f>AND('Ark1'!H122,"AAAAAF8Lf0k=")</f>
        <v>#VALUE!</v>
      </c>
      <c r="BW5">
        <f>IF('Ark1'!123:123,"AAAAAF8Lf0o=",0)</f>
        <v>0</v>
      </c>
      <c r="BX5" t="e">
        <f>AND('Ark1'!A123,"AAAAAF8Lf0s=")</f>
        <v>#VALUE!</v>
      </c>
      <c r="BY5" t="e">
        <f>AND('Ark1'!B123,"AAAAAF8Lf0w=")</f>
        <v>#VALUE!</v>
      </c>
      <c r="BZ5" t="e">
        <f>AND('Ark1'!C123,"AAAAAF8Lf00=")</f>
        <v>#VALUE!</v>
      </c>
      <c r="CA5" t="e">
        <f>AND('Ark1'!D123,"AAAAAF8Lf04=")</f>
        <v>#VALUE!</v>
      </c>
      <c r="CB5" t="e">
        <f>AND('Ark1'!E123,"AAAAAF8Lf08=")</f>
        <v>#VALUE!</v>
      </c>
      <c r="CC5" t="e">
        <f>AND('Ark1'!F123,"AAAAAF8Lf1A=")</f>
        <v>#VALUE!</v>
      </c>
      <c r="CD5" t="e">
        <f>AND('Ark1'!G123,"AAAAAF8Lf1E=")</f>
        <v>#VALUE!</v>
      </c>
      <c r="CE5" t="e">
        <f>AND('Ark1'!H123,"AAAAAF8Lf1I=")</f>
        <v>#VALUE!</v>
      </c>
      <c r="CF5">
        <f>IF('Ark1'!124:124,"AAAAAF8Lf1M=",0)</f>
        <v>0</v>
      </c>
      <c r="CG5" t="e">
        <f>AND('Ark1'!A124,"AAAAAF8Lf1Q=")</f>
        <v>#VALUE!</v>
      </c>
      <c r="CH5" t="e">
        <f>AND('Ark1'!B124,"AAAAAF8Lf1U=")</f>
        <v>#VALUE!</v>
      </c>
      <c r="CI5" t="e">
        <f>AND('Ark1'!C124,"AAAAAF8Lf1Y=")</f>
        <v>#VALUE!</v>
      </c>
      <c r="CJ5" t="e">
        <f>AND('Ark1'!D124,"AAAAAF8Lf1c=")</f>
        <v>#VALUE!</v>
      </c>
      <c r="CK5" t="e">
        <f>AND('Ark1'!E124,"AAAAAF8Lf1g=")</f>
        <v>#VALUE!</v>
      </c>
      <c r="CL5" t="e">
        <f>AND('Ark1'!F124,"AAAAAF8Lf1k=")</f>
        <v>#VALUE!</v>
      </c>
      <c r="CM5" t="e">
        <f>AND('Ark1'!G124,"AAAAAF8Lf1o=")</f>
        <v>#VALUE!</v>
      </c>
      <c r="CN5" t="e">
        <f>AND('Ark1'!H124,"AAAAAF8Lf1s=")</f>
        <v>#VALUE!</v>
      </c>
      <c r="CO5">
        <f>IF('Ark1'!125:125,"AAAAAF8Lf1w=",0)</f>
        <v>0</v>
      </c>
      <c r="CP5" t="e">
        <f>AND('Ark1'!A125,"AAAAAF8Lf10=")</f>
        <v>#VALUE!</v>
      </c>
      <c r="CQ5" t="e">
        <f>AND('Ark1'!B125,"AAAAAF8Lf14=")</f>
        <v>#VALUE!</v>
      </c>
      <c r="CR5" t="e">
        <f>AND('Ark1'!C125,"AAAAAF8Lf18=")</f>
        <v>#VALUE!</v>
      </c>
      <c r="CS5" t="e">
        <f>AND('Ark1'!D125,"AAAAAF8Lf2A=")</f>
        <v>#VALUE!</v>
      </c>
      <c r="CT5" t="e">
        <f>AND('Ark1'!E125,"AAAAAF8Lf2E=")</f>
        <v>#VALUE!</v>
      </c>
      <c r="CU5" t="e">
        <f>AND('Ark1'!F125,"AAAAAF8Lf2I=")</f>
        <v>#VALUE!</v>
      </c>
      <c r="CV5" t="e">
        <f>AND('Ark1'!G125,"AAAAAF8Lf2M=")</f>
        <v>#VALUE!</v>
      </c>
      <c r="CW5" t="e">
        <f>AND('Ark1'!H125,"AAAAAF8Lf2Q=")</f>
        <v>#VALUE!</v>
      </c>
      <c r="CX5">
        <f>IF('Ark1'!126:126,"AAAAAF8Lf2U=",0)</f>
        <v>0</v>
      </c>
      <c r="CY5" t="e">
        <f>AND('Ark1'!A126,"AAAAAF8Lf2Y=")</f>
        <v>#VALUE!</v>
      </c>
      <c r="CZ5" t="e">
        <f>AND('Ark1'!B126,"AAAAAF8Lf2c=")</f>
        <v>#VALUE!</v>
      </c>
      <c r="DA5" t="e">
        <f>AND('Ark1'!C126,"AAAAAF8Lf2g=")</f>
        <v>#VALUE!</v>
      </c>
      <c r="DB5" t="e">
        <f>AND('Ark1'!D126,"AAAAAF8Lf2k=")</f>
        <v>#VALUE!</v>
      </c>
      <c r="DC5" t="e">
        <f>AND('Ark1'!E126,"AAAAAF8Lf2o=")</f>
        <v>#VALUE!</v>
      </c>
      <c r="DD5" t="e">
        <f>AND('Ark1'!F126,"AAAAAF8Lf2s=")</f>
        <v>#VALUE!</v>
      </c>
      <c r="DE5" t="e">
        <f>AND('Ark1'!G126,"AAAAAF8Lf2w=")</f>
        <v>#VALUE!</v>
      </c>
      <c r="DF5" t="e">
        <f>AND('Ark1'!H126,"AAAAAF8Lf20=")</f>
        <v>#VALUE!</v>
      </c>
      <c r="DG5">
        <f>IF('Ark1'!127:127,"AAAAAF8Lf24=",0)</f>
        <v>0</v>
      </c>
      <c r="DH5" t="e">
        <f>AND('Ark1'!A127,"AAAAAF8Lf28=")</f>
        <v>#VALUE!</v>
      </c>
      <c r="DI5" t="e">
        <f>AND('Ark1'!B127,"AAAAAF8Lf3A=")</f>
        <v>#VALUE!</v>
      </c>
      <c r="DJ5" t="e">
        <f>AND('Ark1'!C127,"AAAAAF8Lf3E=")</f>
        <v>#VALUE!</v>
      </c>
      <c r="DK5" t="e">
        <f>AND('Ark1'!D127,"AAAAAF8Lf3I=")</f>
        <v>#VALUE!</v>
      </c>
      <c r="DL5" t="e">
        <f>AND('Ark1'!E127,"AAAAAF8Lf3M=")</f>
        <v>#VALUE!</v>
      </c>
      <c r="DM5" t="e">
        <f>AND('Ark1'!F127,"AAAAAF8Lf3Q=")</f>
        <v>#VALUE!</v>
      </c>
      <c r="DN5" t="e">
        <f>AND('Ark1'!G127,"AAAAAF8Lf3U=")</f>
        <v>#VALUE!</v>
      </c>
      <c r="DO5" t="e">
        <f>AND('Ark1'!H127,"AAAAAF8Lf3Y=")</f>
        <v>#VALUE!</v>
      </c>
      <c r="DP5">
        <f>IF('Ark1'!128:128,"AAAAAF8Lf3c=",0)</f>
        <v>0</v>
      </c>
      <c r="DQ5" t="e">
        <f>AND('Ark1'!A128,"AAAAAF8Lf3g=")</f>
        <v>#VALUE!</v>
      </c>
      <c r="DR5" t="e">
        <f>AND('Ark1'!B128,"AAAAAF8Lf3k=")</f>
        <v>#VALUE!</v>
      </c>
      <c r="DS5" t="e">
        <f>AND('Ark1'!C128,"AAAAAF8Lf3o=")</f>
        <v>#VALUE!</v>
      </c>
      <c r="DT5" t="e">
        <f>AND('Ark1'!D128,"AAAAAF8Lf3s=")</f>
        <v>#VALUE!</v>
      </c>
      <c r="DU5" t="e">
        <f>AND('Ark1'!E128,"AAAAAF8Lf3w=")</f>
        <v>#VALUE!</v>
      </c>
      <c r="DV5" t="e">
        <f>AND('Ark1'!F128,"AAAAAF8Lf30=")</f>
        <v>#VALUE!</v>
      </c>
      <c r="DW5" t="e">
        <f>AND('Ark1'!G128,"AAAAAF8Lf34=")</f>
        <v>#VALUE!</v>
      </c>
      <c r="DX5" t="e">
        <f>AND('Ark1'!H128,"AAAAAF8Lf38=")</f>
        <v>#VALUE!</v>
      </c>
      <c r="DY5">
        <f>IF('Ark1'!129:129,"AAAAAF8Lf4A=",0)</f>
        <v>0</v>
      </c>
      <c r="DZ5" t="e">
        <f>AND('Ark1'!A129,"AAAAAF8Lf4E=")</f>
        <v>#VALUE!</v>
      </c>
      <c r="EA5" t="e">
        <f>AND('Ark1'!B129,"AAAAAF8Lf4I=")</f>
        <v>#VALUE!</v>
      </c>
      <c r="EB5" t="e">
        <f>AND('Ark1'!C129,"AAAAAF8Lf4M=")</f>
        <v>#VALUE!</v>
      </c>
      <c r="EC5" t="e">
        <f>AND('Ark1'!D129,"AAAAAF8Lf4Q=")</f>
        <v>#VALUE!</v>
      </c>
      <c r="ED5" t="e">
        <f>AND('Ark1'!E129,"AAAAAF8Lf4U=")</f>
        <v>#VALUE!</v>
      </c>
      <c r="EE5" t="e">
        <f>AND('Ark1'!F129,"AAAAAF8Lf4Y=")</f>
        <v>#VALUE!</v>
      </c>
      <c r="EF5" t="e">
        <f>AND('Ark1'!G129,"AAAAAF8Lf4c=")</f>
        <v>#VALUE!</v>
      </c>
      <c r="EG5" t="e">
        <f>AND('Ark1'!H129,"AAAAAF8Lf4g=")</f>
        <v>#VALUE!</v>
      </c>
      <c r="EH5">
        <f>IF('Ark1'!130:130,"AAAAAF8Lf4k=",0)</f>
        <v>0</v>
      </c>
      <c r="EI5" t="e">
        <f>AND('Ark1'!A130,"AAAAAF8Lf4o=")</f>
        <v>#VALUE!</v>
      </c>
      <c r="EJ5" t="e">
        <f>AND('Ark1'!B130,"AAAAAF8Lf4s=")</f>
        <v>#VALUE!</v>
      </c>
      <c r="EK5" t="e">
        <f>AND('Ark1'!C130,"AAAAAF8Lf4w=")</f>
        <v>#VALUE!</v>
      </c>
      <c r="EL5" t="e">
        <f>AND('Ark1'!D130,"AAAAAF8Lf40=")</f>
        <v>#VALUE!</v>
      </c>
      <c r="EM5" t="e">
        <f>AND('Ark1'!E130,"AAAAAF8Lf44=")</f>
        <v>#VALUE!</v>
      </c>
      <c r="EN5" t="e">
        <f>AND('Ark1'!F130,"AAAAAF8Lf48=")</f>
        <v>#VALUE!</v>
      </c>
      <c r="EO5" t="e">
        <f>AND('Ark1'!G130,"AAAAAF8Lf5A=")</f>
        <v>#VALUE!</v>
      </c>
      <c r="EP5" t="e">
        <f>AND('Ark1'!H130,"AAAAAF8Lf5E=")</f>
        <v>#VALUE!</v>
      </c>
      <c r="EQ5">
        <f>IF('Ark1'!131:131,"AAAAAF8Lf5I=",0)</f>
        <v>0</v>
      </c>
      <c r="ER5" t="e">
        <f>AND('Ark1'!A131,"AAAAAF8Lf5M=")</f>
        <v>#VALUE!</v>
      </c>
      <c r="ES5" t="e">
        <f>AND('Ark1'!B131,"AAAAAF8Lf5Q=")</f>
        <v>#VALUE!</v>
      </c>
      <c r="ET5" t="e">
        <f>AND('Ark1'!C131,"AAAAAF8Lf5U=")</f>
        <v>#VALUE!</v>
      </c>
      <c r="EU5" t="e">
        <f>AND('Ark1'!D131,"AAAAAF8Lf5Y=")</f>
        <v>#VALUE!</v>
      </c>
      <c r="EV5" t="e">
        <f>AND('Ark1'!E131,"AAAAAF8Lf5c=")</f>
        <v>#VALUE!</v>
      </c>
      <c r="EW5" t="e">
        <f>AND('Ark1'!F131,"AAAAAF8Lf5g=")</f>
        <v>#VALUE!</v>
      </c>
      <c r="EX5" t="e">
        <f>AND('Ark1'!G131,"AAAAAF8Lf5k=")</f>
        <v>#VALUE!</v>
      </c>
      <c r="EY5" t="e">
        <f>AND('Ark1'!H131,"AAAAAF8Lf5o=")</f>
        <v>#VALUE!</v>
      </c>
      <c r="EZ5">
        <f>IF('Ark1'!132:132,"AAAAAF8Lf5s=",0)</f>
        <v>0</v>
      </c>
      <c r="FA5" t="e">
        <f>AND('Ark1'!A132,"AAAAAF8Lf5w=")</f>
        <v>#VALUE!</v>
      </c>
      <c r="FB5" t="e">
        <f>AND('Ark1'!B132,"AAAAAF8Lf50=")</f>
        <v>#VALUE!</v>
      </c>
      <c r="FC5" t="e">
        <f>AND('Ark1'!C132,"AAAAAF8Lf54=")</f>
        <v>#VALUE!</v>
      </c>
      <c r="FD5" t="e">
        <f>AND('Ark1'!D132,"AAAAAF8Lf58=")</f>
        <v>#VALUE!</v>
      </c>
      <c r="FE5" t="e">
        <f>AND('Ark1'!E132,"AAAAAF8Lf6A=")</f>
        <v>#VALUE!</v>
      </c>
      <c r="FF5" t="e">
        <f>AND('Ark1'!F132,"AAAAAF8Lf6E=")</f>
        <v>#VALUE!</v>
      </c>
      <c r="FG5" t="e">
        <f>AND('Ark1'!G132,"AAAAAF8Lf6I=")</f>
        <v>#VALUE!</v>
      </c>
      <c r="FH5" t="e">
        <f>AND('Ark1'!H132,"AAAAAF8Lf6M=")</f>
        <v>#VALUE!</v>
      </c>
      <c r="FI5">
        <f>IF('Ark1'!133:133,"AAAAAF8Lf6Q=",0)</f>
        <v>0</v>
      </c>
      <c r="FJ5" t="e">
        <f>AND('Ark1'!A133,"AAAAAF8Lf6U=")</f>
        <v>#VALUE!</v>
      </c>
      <c r="FK5" t="e">
        <f>AND('Ark1'!B133,"AAAAAF8Lf6Y=")</f>
        <v>#VALUE!</v>
      </c>
      <c r="FL5" t="e">
        <f>AND('Ark1'!C133,"AAAAAF8Lf6c=")</f>
        <v>#VALUE!</v>
      </c>
      <c r="FM5" t="e">
        <f>AND('Ark1'!D133,"AAAAAF8Lf6g=")</f>
        <v>#VALUE!</v>
      </c>
      <c r="FN5" t="e">
        <f>AND('Ark1'!E133,"AAAAAF8Lf6k=")</f>
        <v>#VALUE!</v>
      </c>
      <c r="FO5" t="e">
        <f>AND('Ark1'!F133,"AAAAAF8Lf6o=")</f>
        <v>#VALUE!</v>
      </c>
      <c r="FP5" t="e">
        <f>AND('Ark1'!G133,"AAAAAF8Lf6s=")</f>
        <v>#VALUE!</v>
      </c>
      <c r="FQ5" t="e">
        <f>AND('Ark1'!H133,"AAAAAF8Lf6w=")</f>
        <v>#VALUE!</v>
      </c>
      <c r="FR5">
        <f>IF('Ark1'!134:134,"AAAAAF8Lf60=",0)</f>
        <v>0</v>
      </c>
      <c r="FS5" t="e">
        <f>AND('Ark1'!A134,"AAAAAF8Lf64=")</f>
        <v>#VALUE!</v>
      </c>
      <c r="FT5" t="e">
        <f>AND('Ark1'!B134,"AAAAAF8Lf68=")</f>
        <v>#VALUE!</v>
      </c>
      <c r="FU5" t="e">
        <f>AND('Ark1'!C134,"AAAAAF8Lf7A=")</f>
        <v>#VALUE!</v>
      </c>
      <c r="FV5" t="e">
        <f>AND('Ark1'!D134,"AAAAAF8Lf7E=")</f>
        <v>#VALUE!</v>
      </c>
      <c r="FW5" t="e">
        <f>AND('Ark1'!E134,"AAAAAF8Lf7I=")</f>
        <v>#VALUE!</v>
      </c>
      <c r="FX5" t="e">
        <f>AND('Ark1'!F134,"AAAAAF8Lf7M=")</f>
        <v>#VALUE!</v>
      </c>
      <c r="FY5" t="e">
        <f>AND('Ark1'!G134,"AAAAAF8Lf7Q=")</f>
        <v>#VALUE!</v>
      </c>
      <c r="FZ5" t="e">
        <f>AND('Ark1'!H134,"AAAAAF8Lf7U=")</f>
        <v>#VALUE!</v>
      </c>
      <c r="GA5">
        <f>IF('Ark1'!135:135,"AAAAAF8Lf7Y=",0)</f>
        <v>0</v>
      </c>
      <c r="GB5" t="e">
        <f>AND('Ark1'!A135,"AAAAAF8Lf7c=")</f>
        <v>#VALUE!</v>
      </c>
      <c r="GC5" t="e">
        <f>AND('Ark1'!B135,"AAAAAF8Lf7g=")</f>
        <v>#VALUE!</v>
      </c>
      <c r="GD5" t="e">
        <f>AND('Ark1'!C135,"AAAAAF8Lf7k=")</f>
        <v>#VALUE!</v>
      </c>
      <c r="GE5" t="e">
        <f>AND('Ark1'!D135,"AAAAAF8Lf7o=")</f>
        <v>#VALUE!</v>
      </c>
      <c r="GF5" t="e">
        <f>AND('Ark1'!E135,"AAAAAF8Lf7s=")</f>
        <v>#VALUE!</v>
      </c>
      <c r="GG5" t="e">
        <f>AND('Ark1'!F135,"AAAAAF8Lf7w=")</f>
        <v>#VALUE!</v>
      </c>
      <c r="GH5" t="e">
        <f>AND('Ark1'!G135,"AAAAAF8Lf70=")</f>
        <v>#VALUE!</v>
      </c>
      <c r="GI5" t="e">
        <f>AND('Ark1'!H135,"AAAAAF8Lf74=")</f>
        <v>#VALUE!</v>
      </c>
      <c r="GJ5">
        <f>IF('Ark1'!136:136,"AAAAAF8Lf78=",0)</f>
        <v>0</v>
      </c>
      <c r="GK5" t="e">
        <f>AND('Ark1'!A136,"AAAAAF8Lf8A=")</f>
        <v>#VALUE!</v>
      </c>
      <c r="GL5" t="e">
        <f>AND('Ark1'!B136,"AAAAAF8Lf8E=")</f>
        <v>#VALUE!</v>
      </c>
      <c r="GM5" t="e">
        <f>AND('Ark1'!C136,"AAAAAF8Lf8I=")</f>
        <v>#VALUE!</v>
      </c>
      <c r="GN5" t="e">
        <f>AND('Ark1'!D136,"AAAAAF8Lf8M=")</f>
        <v>#VALUE!</v>
      </c>
      <c r="GO5" t="e">
        <f>AND('Ark1'!E136,"AAAAAF8Lf8Q=")</f>
        <v>#VALUE!</v>
      </c>
      <c r="GP5" t="e">
        <f>AND('Ark1'!F136,"AAAAAF8Lf8U=")</f>
        <v>#VALUE!</v>
      </c>
      <c r="GQ5" t="e">
        <f>AND('Ark1'!G136,"AAAAAF8Lf8Y=")</f>
        <v>#VALUE!</v>
      </c>
      <c r="GR5" t="e">
        <f>AND('Ark1'!H136,"AAAAAF8Lf8c=")</f>
        <v>#VALUE!</v>
      </c>
      <c r="GS5">
        <f>IF('Ark1'!137:137,"AAAAAF8Lf8g=",0)</f>
        <v>0</v>
      </c>
      <c r="GT5" t="e">
        <f>AND('Ark1'!A137,"AAAAAF8Lf8k=")</f>
        <v>#VALUE!</v>
      </c>
      <c r="GU5" t="e">
        <f>AND('Ark1'!B137,"AAAAAF8Lf8o=")</f>
        <v>#VALUE!</v>
      </c>
      <c r="GV5" t="e">
        <f>AND('Ark1'!C137,"AAAAAF8Lf8s=")</f>
        <v>#VALUE!</v>
      </c>
      <c r="GW5" t="e">
        <f>AND('Ark1'!D137,"AAAAAF8Lf8w=")</f>
        <v>#VALUE!</v>
      </c>
      <c r="GX5" t="e">
        <f>AND('Ark1'!E137,"AAAAAF8Lf80=")</f>
        <v>#VALUE!</v>
      </c>
      <c r="GY5" t="e">
        <f>AND('Ark1'!F137,"AAAAAF8Lf84=")</f>
        <v>#VALUE!</v>
      </c>
      <c r="GZ5" t="e">
        <f>AND('Ark1'!G137,"AAAAAF8Lf88=")</f>
        <v>#VALUE!</v>
      </c>
      <c r="HA5" t="e">
        <f>AND('Ark1'!H137,"AAAAAF8Lf9A=")</f>
        <v>#VALUE!</v>
      </c>
      <c r="HB5">
        <f>IF('Ark1'!138:138,"AAAAAF8Lf9E=",0)</f>
        <v>0</v>
      </c>
      <c r="HC5" t="e">
        <f>AND('Ark1'!A138,"AAAAAF8Lf9I=")</f>
        <v>#VALUE!</v>
      </c>
      <c r="HD5" t="e">
        <f>AND('Ark1'!B138,"AAAAAF8Lf9M=")</f>
        <v>#VALUE!</v>
      </c>
      <c r="HE5" t="e">
        <f>AND('Ark1'!C138,"AAAAAF8Lf9Q=")</f>
        <v>#VALUE!</v>
      </c>
      <c r="HF5" t="e">
        <f>AND('Ark1'!D138,"AAAAAF8Lf9U=")</f>
        <v>#VALUE!</v>
      </c>
      <c r="HG5" t="e">
        <f>AND('Ark1'!E138,"AAAAAF8Lf9Y=")</f>
        <v>#VALUE!</v>
      </c>
      <c r="HH5" t="e">
        <f>AND('Ark1'!F138,"AAAAAF8Lf9c=")</f>
        <v>#VALUE!</v>
      </c>
      <c r="HI5" t="e">
        <f>AND('Ark1'!G138,"AAAAAF8Lf9g=")</f>
        <v>#VALUE!</v>
      </c>
      <c r="HJ5" t="e">
        <f>AND('Ark1'!H138,"AAAAAF8Lf9k=")</f>
        <v>#VALUE!</v>
      </c>
      <c r="HK5">
        <f>IF('Ark1'!139:139,"AAAAAF8Lf9o=",0)</f>
        <v>0</v>
      </c>
      <c r="HL5" t="e">
        <f>AND('Ark1'!A139,"AAAAAF8Lf9s=")</f>
        <v>#VALUE!</v>
      </c>
      <c r="HM5" t="e">
        <f>AND('Ark1'!B139,"AAAAAF8Lf9w=")</f>
        <v>#VALUE!</v>
      </c>
      <c r="HN5" t="e">
        <f>AND('Ark1'!C139,"AAAAAF8Lf90=")</f>
        <v>#VALUE!</v>
      </c>
      <c r="HO5" t="e">
        <f>AND('Ark1'!D139,"AAAAAF8Lf94=")</f>
        <v>#VALUE!</v>
      </c>
      <c r="HP5" t="e">
        <f>AND('Ark1'!E139,"AAAAAF8Lf98=")</f>
        <v>#VALUE!</v>
      </c>
      <c r="HQ5" t="e">
        <f>AND('Ark1'!F139,"AAAAAF8Lf+A=")</f>
        <v>#VALUE!</v>
      </c>
      <c r="HR5" t="e">
        <f>AND('Ark1'!G139,"AAAAAF8Lf+E=")</f>
        <v>#VALUE!</v>
      </c>
      <c r="HS5" t="e">
        <f>AND('Ark1'!H139,"AAAAAF8Lf+I=")</f>
        <v>#VALUE!</v>
      </c>
      <c r="HT5">
        <f>IF('Ark1'!140:140,"AAAAAF8Lf+M=",0)</f>
        <v>0</v>
      </c>
      <c r="HU5" t="e">
        <f>AND('Ark1'!A140,"AAAAAF8Lf+Q=")</f>
        <v>#VALUE!</v>
      </c>
      <c r="HV5" t="e">
        <f>AND('Ark1'!B140,"AAAAAF8Lf+U=")</f>
        <v>#VALUE!</v>
      </c>
      <c r="HW5" t="e">
        <f>AND('Ark1'!C140,"AAAAAF8Lf+Y=")</f>
        <v>#VALUE!</v>
      </c>
      <c r="HX5" t="e">
        <f>AND('Ark1'!D140,"AAAAAF8Lf+c=")</f>
        <v>#VALUE!</v>
      </c>
      <c r="HY5" t="e">
        <f>AND('Ark1'!E140,"AAAAAF8Lf+g=")</f>
        <v>#VALUE!</v>
      </c>
      <c r="HZ5" t="e">
        <f>AND('Ark1'!F140,"AAAAAF8Lf+k=")</f>
        <v>#VALUE!</v>
      </c>
      <c r="IA5" t="e">
        <f>AND('Ark1'!G140,"AAAAAF8Lf+o=")</f>
        <v>#VALUE!</v>
      </c>
      <c r="IB5" t="e">
        <f>AND('Ark1'!H140,"AAAAAF8Lf+s=")</f>
        <v>#VALUE!</v>
      </c>
      <c r="IC5">
        <f>IF('Ark1'!141:141,"AAAAAF8Lf+w=",0)</f>
        <v>0</v>
      </c>
      <c r="ID5" t="e">
        <f>AND('Ark1'!A141,"AAAAAF8Lf+0=")</f>
        <v>#VALUE!</v>
      </c>
      <c r="IE5" t="e">
        <f>AND('Ark1'!B141,"AAAAAF8Lf+4=")</f>
        <v>#VALUE!</v>
      </c>
      <c r="IF5" t="e">
        <f>AND('Ark1'!C141,"AAAAAF8Lf+8=")</f>
        <v>#VALUE!</v>
      </c>
      <c r="IG5" t="e">
        <f>AND('Ark1'!D141,"AAAAAF8Lf/A=")</f>
        <v>#VALUE!</v>
      </c>
      <c r="IH5" t="e">
        <f>AND('Ark1'!E141,"AAAAAF8Lf/E=")</f>
        <v>#VALUE!</v>
      </c>
      <c r="II5" t="e">
        <f>AND('Ark1'!F141,"AAAAAF8Lf/I=")</f>
        <v>#VALUE!</v>
      </c>
      <c r="IJ5" t="e">
        <f>AND('Ark1'!G141,"AAAAAF8Lf/M=")</f>
        <v>#VALUE!</v>
      </c>
      <c r="IK5" t="e">
        <f>AND('Ark1'!H141,"AAAAAF8Lf/Q=")</f>
        <v>#VALUE!</v>
      </c>
      <c r="IL5">
        <f>IF('Ark1'!142:142,"AAAAAF8Lf/U=",0)</f>
        <v>0</v>
      </c>
      <c r="IM5" t="e">
        <f>AND('Ark1'!A142,"AAAAAF8Lf/Y=")</f>
        <v>#VALUE!</v>
      </c>
      <c r="IN5" t="e">
        <f>AND('Ark1'!B142,"AAAAAF8Lf/c=")</f>
        <v>#VALUE!</v>
      </c>
      <c r="IO5" t="e">
        <f>AND('Ark1'!C142,"AAAAAF8Lf/g=")</f>
        <v>#VALUE!</v>
      </c>
      <c r="IP5" t="e">
        <f>AND('Ark1'!D142,"AAAAAF8Lf/k=")</f>
        <v>#VALUE!</v>
      </c>
      <c r="IQ5" t="e">
        <f>AND('Ark1'!E142,"AAAAAF8Lf/o=")</f>
        <v>#VALUE!</v>
      </c>
      <c r="IR5" t="e">
        <f>AND('Ark1'!F142,"AAAAAF8Lf/s=")</f>
        <v>#VALUE!</v>
      </c>
      <c r="IS5" t="e">
        <f>AND('Ark1'!G142,"AAAAAF8Lf/w=")</f>
        <v>#VALUE!</v>
      </c>
      <c r="IT5" t="e">
        <f>AND('Ark1'!H142,"AAAAAF8Lf/0=")</f>
        <v>#VALUE!</v>
      </c>
      <c r="IU5">
        <f>IF('Ark1'!143:143,"AAAAAF8Lf/4=",0)</f>
        <v>0</v>
      </c>
      <c r="IV5" t="e">
        <f>AND('Ark1'!A143,"AAAAAF8Lf/8=")</f>
        <v>#VALUE!</v>
      </c>
    </row>
    <row r="6" spans="1:256" x14ac:dyDescent="0.25">
      <c r="A6" t="e">
        <f>AND('Ark1'!B143,"AAAAADWbVwA=")</f>
        <v>#VALUE!</v>
      </c>
      <c r="B6" t="e">
        <f>AND('Ark1'!C143,"AAAAADWbVwE=")</f>
        <v>#VALUE!</v>
      </c>
      <c r="C6" t="e">
        <f>AND('Ark1'!D143,"AAAAADWbVwI=")</f>
        <v>#VALUE!</v>
      </c>
      <c r="D6" t="e">
        <f>AND('Ark1'!E143,"AAAAADWbVwM=")</f>
        <v>#VALUE!</v>
      </c>
      <c r="E6" t="e">
        <f>AND('Ark1'!F143,"AAAAADWbVwQ=")</f>
        <v>#VALUE!</v>
      </c>
      <c r="F6" t="e">
        <f>AND('Ark1'!G143,"AAAAADWbVwU=")</f>
        <v>#VALUE!</v>
      </c>
      <c r="G6" t="e">
        <f>AND('Ark1'!H143,"AAAAADWbVwY=")</f>
        <v>#VALUE!</v>
      </c>
      <c r="H6">
        <f>IF('Ark1'!144:144,"AAAAADWbVwc=",0)</f>
        <v>0</v>
      </c>
      <c r="I6" t="e">
        <f>AND('Ark1'!A144,"AAAAADWbVwg=")</f>
        <v>#VALUE!</v>
      </c>
      <c r="J6" t="e">
        <f>AND('Ark1'!B144,"AAAAADWbVwk=")</f>
        <v>#VALUE!</v>
      </c>
      <c r="K6" t="e">
        <f>AND('Ark1'!C144,"AAAAADWbVwo=")</f>
        <v>#VALUE!</v>
      </c>
      <c r="L6" t="e">
        <f>AND('Ark1'!D144,"AAAAADWbVws=")</f>
        <v>#VALUE!</v>
      </c>
      <c r="M6" t="e">
        <f>AND('Ark1'!E144,"AAAAADWbVww=")</f>
        <v>#VALUE!</v>
      </c>
      <c r="N6" t="e">
        <f>AND('Ark1'!F144,"AAAAADWbVw0=")</f>
        <v>#VALUE!</v>
      </c>
      <c r="O6" t="e">
        <f>AND('Ark1'!G144,"AAAAADWbVw4=")</f>
        <v>#VALUE!</v>
      </c>
      <c r="P6" t="e">
        <f>AND('Ark1'!H144,"AAAAADWbVw8=")</f>
        <v>#VALUE!</v>
      </c>
      <c r="Q6">
        <f>IF('Ark1'!145:145,"AAAAADWbVxA=",0)</f>
        <v>0</v>
      </c>
      <c r="R6" t="e">
        <f>AND('Ark1'!A145,"AAAAADWbVxE=")</f>
        <v>#VALUE!</v>
      </c>
      <c r="S6" t="e">
        <f>AND('Ark1'!B145,"AAAAADWbVxI=")</f>
        <v>#VALUE!</v>
      </c>
      <c r="T6" t="e">
        <f>AND('Ark1'!C145,"AAAAADWbVxM=")</f>
        <v>#VALUE!</v>
      </c>
      <c r="U6" t="e">
        <f>AND('Ark1'!D145,"AAAAADWbVxQ=")</f>
        <v>#VALUE!</v>
      </c>
      <c r="V6" t="e">
        <f>AND('Ark1'!E145,"AAAAADWbVxU=")</f>
        <v>#VALUE!</v>
      </c>
      <c r="W6" t="e">
        <f>AND('Ark1'!F145,"AAAAADWbVxY=")</f>
        <v>#VALUE!</v>
      </c>
      <c r="X6" t="e">
        <f>AND('Ark1'!G145,"AAAAADWbVxc=")</f>
        <v>#VALUE!</v>
      </c>
      <c r="Y6" t="e">
        <f>AND('Ark1'!H145,"AAAAADWbVxg=")</f>
        <v>#VALUE!</v>
      </c>
      <c r="Z6">
        <f>IF('Ark1'!146:146,"AAAAADWbVxk=",0)</f>
        <v>0</v>
      </c>
      <c r="AA6" t="e">
        <f>AND('Ark1'!A146,"AAAAADWbVxo=")</f>
        <v>#VALUE!</v>
      </c>
      <c r="AB6" t="e">
        <f>AND('Ark1'!B146,"AAAAADWbVxs=")</f>
        <v>#VALUE!</v>
      </c>
      <c r="AC6" t="e">
        <f>AND('Ark1'!C146,"AAAAADWbVxw=")</f>
        <v>#VALUE!</v>
      </c>
      <c r="AD6" t="e">
        <f>AND('Ark1'!D146,"AAAAADWbVx0=")</f>
        <v>#VALUE!</v>
      </c>
      <c r="AE6" t="e">
        <f>AND('Ark1'!E146,"AAAAADWbVx4=")</f>
        <v>#VALUE!</v>
      </c>
      <c r="AF6" t="e">
        <f>AND('Ark1'!F146,"AAAAADWbVx8=")</f>
        <v>#VALUE!</v>
      </c>
      <c r="AG6" t="e">
        <f>AND('Ark1'!G146,"AAAAADWbVyA=")</f>
        <v>#VALUE!</v>
      </c>
      <c r="AH6" t="e">
        <f>AND('Ark1'!H146,"AAAAADWbVyE=")</f>
        <v>#VALUE!</v>
      </c>
      <c r="AI6">
        <f>IF('Ark1'!147:147,"AAAAADWbVyI=",0)</f>
        <v>0</v>
      </c>
      <c r="AJ6" t="e">
        <f>AND('Ark1'!A147,"AAAAADWbVyM=")</f>
        <v>#VALUE!</v>
      </c>
      <c r="AK6" t="e">
        <f>AND('Ark1'!B147,"AAAAADWbVyQ=")</f>
        <v>#VALUE!</v>
      </c>
      <c r="AL6" t="e">
        <f>AND('Ark1'!C147,"AAAAADWbVyU=")</f>
        <v>#VALUE!</v>
      </c>
      <c r="AM6" t="e">
        <f>AND('Ark1'!D147,"AAAAADWbVyY=")</f>
        <v>#VALUE!</v>
      </c>
      <c r="AN6" t="e">
        <f>AND('Ark1'!E147,"AAAAADWbVyc=")</f>
        <v>#VALUE!</v>
      </c>
      <c r="AO6" t="e">
        <f>AND('Ark1'!F147,"AAAAADWbVyg=")</f>
        <v>#VALUE!</v>
      </c>
      <c r="AP6" t="e">
        <f>AND('Ark1'!G147,"AAAAADWbVyk=")</f>
        <v>#VALUE!</v>
      </c>
      <c r="AQ6" t="e">
        <f>AND('Ark1'!H147,"AAAAADWbVyo=")</f>
        <v>#VALUE!</v>
      </c>
      <c r="AR6">
        <f>IF('Ark1'!148:148,"AAAAADWbVys=",0)</f>
        <v>0</v>
      </c>
      <c r="AS6" t="e">
        <f>AND('Ark1'!A148,"AAAAADWbVyw=")</f>
        <v>#VALUE!</v>
      </c>
      <c r="AT6" t="e">
        <f>AND('Ark1'!B148,"AAAAADWbVy0=")</f>
        <v>#VALUE!</v>
      </c>
      <c r="AU6" t="e">
        <f>AND('Ark1'!C148,"AAAAADWbVy4=")</f>
        <v>#VALUE!</v>
      </c>
      <c r="AV6" t="e">
        <f>AND('Ark1'!D148,"AAAAADWbVy8=")</f>
        <v>#VALUE!</v>
      </c>
      <c r="AW6" t="e">
        <f>AND('Ark1'!E148,"AAAAADWbVzA=")</f>
        <v>#VALUE!</v>
      </c>
      <c r="AX6" t="e">
        <f>AND('Ark1'!F148,"AAAAADWbVzE=")</f>
        <v>#VALUE!</v>
      </c>
      <c r="AY6" t="e">
        <f>AND('Ark1'!G148,"AAAAADWbVzI=")</f>
        <v>#VALUE!</v>
      </c>
      <c r="AZ6" t="e">
        <f>AND('Ark1'!H148,"AAAAADWbVzM=")</f>
        <v>#VALUE!</v>
      </c>
      <c r="BA6">
        <f>IF('Ark1'!149:149,"AAAAADWbVzQ=",0)</f>
        <v>0</v>
      </c>
      <c r="BB6" t="e">
        <f>AND('Ark1'!A149,"AAAAADWbVzU=")</f>
        <v>#VALUE!</v>
      </c>
      <c r="BC6" t="e">
        <f>AND('Ark1'!B149,"AAAAADWbVzY=")</f>
        <v>#VALUE!</v>
      </c>
      <c r="BD6" t="e">
        <f>AND('Ark1'!C149,"AAAAADWbVzc=")</f>
        <v>#VALUE!</v>
      </c>
      <c r="BE6" t="e">
        <f>AND('Ark1'!D149,"AAAAADWbVzg=")</f>
        <v>#VALUE!</v>
      </c>
      <c r="BF6" t="e">
        <f>AND('Ark1'!E149,"AAAAADWbVzk=")</f>
        <v>#VALUE!</v>
      </c>
      <c r="BG6" t="e">
        <f>AND('Ark1'!F149,"AAAAADWbVzo=")</f>
        <v>#VALUE!</v>
      </c>
      <c r="BH6" t="e">
        <f>AND('Ark1'!G149,"AAAAADWbVzs=")</f>
        <v>#VALUE!</v>
      </c>
      <c r="BI6" t="e">
        <f>AND('Ark1'!H149,"AAAAADWbVzw=")</f>
        <v>#VALUE!</v>
      </c>
      <c r="BJ6">
        <f>IF('Ark1'!150:150,"AAAAADWbVz0=",0)</f>
        <v>0</v>
      </c>
      <c r="BK6" t="e">
        <f>AND('Ark1'!A150,"AAAAADWbVz4=")</f>
        <v>#VALUE!</v>
      </c>
      <c r="BL6" t="e">
        <f>AND('Ark1'!B150,"AAAAADWbVz8=")</f>
        <v>#VALUE!</v>
      </c>
      <c r="BM6" t="e">
        <f>AND('Ark1'!C150,"AAAAADWbV0A=")</f>
        <v>#VALUE!</v>
      </c>
      <c r="BN6" t="e">
        <f>AND('Ark1'!D150,"AAAAADWbV0E=")</f>
        <v>#VALUE!</v>
      </c>
      <c r="BO6" t="e">
        <f>AND('Ark1'!E150,"AAAAADWbV0I=")</f>
        <v>#VALUE!</v>
      </c>
      <c r="BP6" t="e">
        <f>AND('Ark1'!F150,"AAAAADWbV0M=")</f>
        <v>#VALUE!</v>
      </c>
      <c r="BQ6" t="e">
        <f>AND('Ark1'!G150,"AAAAADWbV0Q=")</f>
        <v>#VALUE!</v>
      </c>
      <c r="BR6" t="e">
        <f>AND('Ark1'!H150,"AAAAADWbV0U=")</f>
        <v>#VALUE!</v>
      </c>
      <c r="BS6">
        <f>IF('Ark1'!151:151,"AAAAADWbV0Y=",0)</f>
        <v>0</v>
      </c>
      <c r="BT6" t="e">
        <f>AND('Ark1'!A151,"AAAAADWbV0c=")</f>
        <v>#VALUE!</v>
      </c>
      <c r="BU6" t="e">
        <f>AND('Ark1'!B151,"AAAAADWbV0g=")</f>
        <v>#VALUE!</v>
      </c>
      <c r="BV6" t="e">
        <f>AND('Ark1'!C151,"AAAAADWbV0k=")</f>
        <v>#VALUE!</v>
      </c>
      <c r="BW6" t="e">
        <f>AND('Ark1'!D151,"AAAAADWbV0o=")</f>
        <v>#VALUE!</v>
      </c>
      <c r="BX6" t="e">
        <f>AND('Ark1'!E151,"AAAAADWbV0s=")</f>
        <v>#VALUE!</v>
      </c>
      <c r="BY6" t="e">
        <f>AND('Ark1'!F151,"AAAAADWbV0w=")</f>
        <v>#VALUE!</v>
      </c>
      <c r="BZ6" t="e">
        <f>AND('Ark1'!G151,"AAAAADWbV00=")</f>
        <v>#VALUE!</v>
      </c>
      <c r="CA6" t="e">
        <f>AND('Ark1'!H151,"AAAAADWbV04=")</f>
        <v>#VALUE!</v>
      </c>
      <c r="CB6">
        <f>IF('Ark1'!152:152,"AAAAADWbV08=",0)</f>
        <v>0</v>
      </c>
      <c r="CC6" t="e">
        <f>AND('Ark1'!A152,"AAAAADWbV1A=")</f>
        <v>#VALUE!</v>
      </c>
      <c r="CD6" t="e">
        <f>AND('Ark1'!B152,"AAAAADWbV1E=")</f>
        <v>#VALUE!</v>
      </c>
      <c r="CE6" t="e">
        <f>AND('Ark1'!C152,"AAAAADWbV1I=")</f>
        <v>#VALUE!</v>
      </c>
      <c r="CF6" t="e">
        <f>AND('Ark1'!D152,"AAAAADWbV1M=")</f>
        <v>#VALUE!</v>
      </c>
      <c r="CG6" t="e">
        <f>AND('Ark1'!E152,"AAAAADWbV1Q=")</f>
        <v>#VALUE!</v>
      </c>
      <c r="CH6" t="e">
        <f>AND('Ark1'!F152,"AAAAADWbV1U=")</f>
        <v>#VALUE!</v>
      </c>
      <c r="CI6" t="e">
        <f>AND('Ark1'!G152,"AAAAADWbV1Y=")</f>
        <v>#VALUE!</v>
      </c>
      <c r="CJ6" t="e">
        <f>AND('Ark1'!H152,"AAAAADWbV1c=")</f>
        <v>#VALUE!</v>
      </c>
      <c r="CK6">
        <f>IF('Ark1'!153:153,"AAAAADWbV1g=",0)</f>
        <v>0</v>
      </c>
      <c r="CL6" t="e">
        <f>AND('Ark1'!A153,"AAAAADWbV1k=")</f>
        <v>#VALUE!</v>
      </c>
      <c r="CM6" t="e">
        <f>AND('Ark1'!B153,"AAAAADWbV1o=")</f>
        <v>#VALUE!</v>
      </c>
      <c r="CN6" t="e">
        <f>AND('Ark1'!C153,"AAAAADWbV1s=")</f>
        <v>#VALUE!</v>
      </c>
      <c r="CO6" t="e">
        <f>AND('Ark1'!D153,"AAAAADWbV1w=")</f>
        <v>#VALUE!</v>
      </c>
      <c r="CP6" t="e">
        <f>AND('Ark1'!E153,"AAAAADWbV10=")</f>
        <v>#VALUE!</v>
      </c>
      <c r="CQ6" t="e">
        <f>AND('Ark1'!F153,"AAAAADWbV14=")</f>
        <v>#VALUE!</v>
      </c>
      <c r="CR6" t="e">
        <f>AND('Ark1'!G153,"AAAAADWbV18=")</f>
        <v>#VALUE!</v>
      </c>
      <c r="CS6" t="e">
        <f>AND('Ark1'!H153,"AAAAADWbV2A=")</f>
        <v>#VALUE!</v>
      </c>
      <c r="CT6">
        <f>IF('Ark1'!154:154,"AAAAADWbV2E=",0)</f>
        <v>0</v>
      </c>
      <c r="CU6" t="e">
        <f>AND('Ark1'!A154,"AAAAADWbV2I=")</f>
        <v>#VALUE!</v>
      </c>
      <c r="CV6" t="e">
        <f>AND('Ark1'!B154,"AAAAADWbV2M=")</f>
        <v>#VALUE!</v>
      </c>
      <c r="CW6" t="e">
        <f>AND('Ark1'!C154,"AAAAADWbV2Q=")</f>
        <v>#VALUE!</v>
      </c>
      <c r="CX6" t="e">
        <f>AND('Ark1'!D154,"AAAAADWbV2U=")</f>
        <v>#VALUE!</v>
      </c>
      <c r="CY6" t="e">
        <f>AND('Ark1'!E154,"AAAAADWbV2Y=")</f>
        <v>#VALUE!</v>
      </c>
      <c r="CZ6" t="e">
        <f>AND('Ark1'!F154,"AAAAADWbV2c=")</f>
        <v>#VALUE!</v>
      </c>
      <c r="DA6" t="e">
        <f>AND('Ark1'!G154,"AAAAADWbV2g=")</f>
        <v>#VALUE!</v>
      </c>
      <c r="DB6" t="e">
        <f>AND('Ark1'!H154,"AAAAADWbV2k=")</f>
        <v>#VALUE!</v>
      </c>
      <c r="DC6">
        <f>IF('Ark1'!155:155,"AAAAADWbV2o=",0)</f>
        <v>0</v>
      </c>
      <c r="DD6" t="e">
        <f>AND('Ark1'!A155,"AAAAADWbV2s=")</f>
        <v>#VALUE!</v>
      </c>
      <c r="DE6" t="e">
        <f>AND('Ark1'!B155,"AAAAADWbV2w=")</f>
        <v>#VALUE!</v>
      </c>
      <c r="DF6" t="e">
        <f>AND('Ark1'!C155,"AAAAADWbV20=")</f>
        <v>#VALUE!</v>
      </c>
      <c r="DG6" t="e">
        <f>AND('Ark1'!D155,"AAAAADWbV24=")</f>
        <v>#VALUE!</v>
      </c>
      <c r="DH6" t="e">
        <f>AND('Ark1'!E155,"AAAAADWbV28=")</f>
        <v>#VALUE!</v>
      </c>
      <c r="DI6" t="e">
        <f>AND('Ark1'!F155,"AAAAADWbV3A=")</f>
        <v>#VALUE!</v>
      </c>
      <c r="DJ6" t="e">
        <f>AND('Ark1'!G155,"AAAAADWbV3E=")</f>
        <v>#VALUE!</v>
      </c>
      <c r="DK6" t="e">
        <f>AND('Ark1'!H155,"AAAAADWbV3I=")</f>
        <v>#VALUE!</v>
      </c>
      <c r="DL6">
        <f>IF('Ark1'!156:156,"AAAAADWbV3M=",0)</f>
        <v>0</v>
      </c>
      <c r="DM6" t="e">
        <f>AND('Ark1'!A156,"AAAAADWbV3Q=")</f>
        <v>#VALUE!</v>
      </c>
      <c r="DN6" t="e">
        <f>AND('Ark1'!B156,"AAAAADWbV3U=")</f>
        <v>#VALUE!</v>
      </c>
      <c r="DO6" t="e">
        <f>AND('Ark1'!C156,"AAAAADWbV3Y=")</f>
        <v>#VALUE!</v>
      </c>
      <c r="DP6" t="e">
        <f>AND('Ark1'!D156,"AAAAADWbV3c=")</f>
        <v>#VALUE!</v>
      </c>
      <c r="DQ6" t="e">
        <f>AND('Ark1'!E156,"AAAAADWbV3g=")</f>
        <v>#VALUE!</v>
      </c>
      <c r="DR6" t="e">
        <f>AND('Ark1'!F156,"AAAAADWbV3k=")</f>
        <v>#VALUE!</v>
      </c>
      <c r="DS6" t="e">
        <f>AND('Ark1'!G156,"AAAAADWbV3o=")</f>
        <v>#VALUE!</v>
      </c>
      <c r="DT6" t="e">
        <f>AND('Ark1'!H156,"AAAAADWbV3s=")</f>
        <v>#VALUE!</v>
      </c>
      <c r="DU6">
        <f>IF('Ark1'!157:157,"AAAAADWbV3w=",0)</f>
        <v>0</v>
      </c>
      <c r="DV6" t="e">
        <f>AND('Ark1'!A157,"AAAAADWbV30=")</f>
        <v>#VALUE!</v>
      </c>
      <c r="DW6" t="e">
        <f>AND('Ark1'!B157,"AAAAADWbV34=")</f>
        <v>#VALUE!</v>
      </c>
      <c r="DX6" t="e">
        <f>AND('Ark1'!C157,"AAAAADWbV38=")</f>
        <v>#VALUE!</v>
      </c>
      <c r="DY6" t="e">
        <f>AND('Ark1'!D157,"AAAAADWbV4A=")</f>
        <v>#VALUE!</v>
      </c>
      <c r="DZ6" t="e">
        <f>AND('Ark1'!E157,"AAAAADWbV4E=")</f>
        <v>#VALUE!</v>
      </c>
      <c r="EA6" t="e">
        <f>AND('Ark1'!F157,"AAAAADWbV4I=")</f>
        <v>#VALUE!</v>
      </c>
      <c r="EB6" t="e">
        <f>AND('Ark1'!G157,"AAAAADWbV4M=")</f>
        <v>#VALUE!</v>
      </c>
      <c r="EC6" t="e">
        <f>AND('Ark1'!H157,"AAAAADWbV4Q=")</f>
        <v>#VALUE!</v>
      </c>
      <c r="ED6">
        <f>IF('Ark1'!158:158,"AAAAADWbV4U=",0)</f>
        <v>0</v>
      </c>
      <c r="EE6" t="e">
        <f>AND('Ark1'!A158,"AAAAADWbV4Y=")</f>
        <v>#VALUE!</v>
      </c>
      <c r="EF6" t="e">
        <f>AND('Ark1'!B158,"AAAAADWbV4c=")</f>
        <v>#VALUE!</v>
      </c>
      <c r="EG6" t="e">
        <f>AND('Ark1'!C158,"AAAAADWbV4g=")</f>
        <v>#VALUE!</v>
      </c>
      <c r="EH6" t="e">
        <f>AND('Ark1'!D158,"AAAAADWbV4k=")</f>
        <v>#VALUE!</v>
      </c>
      <c r="EI6" t="e">
        <f>AND('Ark1'!E158,"AAAAADWbV4o=")</f>
        <v>#VALUE!</v>
      </c>
      <c r="EJ6" t="e">
        <f>AND('Ark1'!F158,"AAAAADWbV4s=")</f>
        <v>#VALUE!</v>
      </c>
      <c r="EK6" t="e">
        <f>AND('Ark1'!G158,"AAAAADWbV4w=")</f>
        <v>#VALUE!</v>
      </c>
      <c r="EL6" t="e">
        <f>AND('Ark1'!H158,"AAAAADWbV40=")</f>
        <v>#VALUE!</v>
      </c>
      <c r="EM6">
        <f>IF('Ark1'!159:159,"AAAAADWbV44=",0)</f>
        <v>0</v>
      </c>
      <c r="EN6" t="e">
        <f>AND('Ark1'!A159,"AAAAADWbV48=")</f>
        <v>#VALUE!</v>
      </c>
      <c r="EO6" t="e">
        <f>AND('Ark1'!B159,"AAAAADWbV5A=")</f>
        <v>#VALUE!</v>
      </c>
      <c r="EP6" t="e">
        <f>AND('Ark1'!C159,"AAAAADWbV5E=")</f>
        <v>#VALUE!</v>
      </c>
      <c r="EQ6" t="e">
        <f>AND('Ark1'!D159,"AAAAADWbV5I=")</f>
        <v>#VALUE!</v>
      </c>
      <c r="ER6" t="e">
        <f>AND('Ark1'!E159,"AAAAADWbV5M=")</f>
        <v>#VALUE!</v>
      </c>
      <c r="ES6" t="e">
        <f>AND('Ark1'!F159,"AAAAADWbV5Q=")</f>
        <v>#VALUE!</v>
      </c>
      <c r="ET6" t="e">
        <f>AND('Ark1'!G159,"AAAAADWbV5U=")</f>
        <v>#VALUE!</v>
      </c>
      <c r="EU6" t="e">
        <f>AND('Ark1'!H159,"AAAAADWbV5Y=")</f>
        <v>#VALUE!</v>
      </c>
      <c r="EV6">
        <f>IF('Ark1'!160:160,"AAAAADWbV5c=",0)</f>
        <v>0</v>
      </c>
      <c r="EW6" t="e">
        <f>AND('Ark1'!A160,"AAAAADWbV5g=")</f>
        <v>#VALUE!</v>
      </c>
      <c r="EX6" t="e">
        <f>AND('Ark1'!B160,"AAAAADWbV5k=")</f>
        <v>#VALUE!</v>
      </c>
      <c r="EY6" t="e">
        <f>AND('Ark1'!C160,"AAAAADWbV5o=")</f>
        <v>#VALUE!</v>
      </c>
      <c r="EZ6" t="e">
        <f>AND('Ark1'!D160,"AAAAADWbV5s=")</f>
        <v>#VALUE!</v>
      </c>
      <c r="FA6" t="e">
        <f>AND('Ark1'!E160,"AAAAADWbV5w=")</f>
        <v>#VALUE!</v>
      </c>
      <c r="FB6" t="e">
        <f>AND('Ark1'!F160,"AAAAADWbV50=")</f>
        <v>#VALUE!</v>
      </c>
      <c r="FC6" t="e">
        <f>AND('Ark1'!G160,"AAAAADWbV54=")</f>
        <v>#VALUE!</v>
      </c>
      <c r="FD6" t="e">
        <f>AND('Ark1'!H160,"AAAAADWbV58=")</f>
        <v>#VALUE!</v>
      </c>
      <c r="FE6">
        <f>IF('Ark1'!161:161,"AAAAADWbV6A=",0)</f>
        <v>0</v>
      </c>
      <c r="FF6" t="e">
        <f>AND('Ark1'!A161,"AAAAADWbV6E=")</f>
        <v>#VALUE!</v>
      </c>
      <c r="FG6" t="e">
        <f>AND('Ark1'!B161,"AAAAADWbV6I=")</f>
        <v>#VALUE!</v>
      </c>
      <c r="FH6" t="e">
        <f>AND('Ark1'!C161,"AAAAADWbV6M=")</f>
        <v>#VALUE!</v>
      </c>
      <c r="FI6" t="e">
        <f>AND('Ark1'!D161,"AAAAADWbV6Q=")</f>
        <v>#VALUE!</v>
      </c>
      <c r="FJ6" t="e">
        <f>AND('Ark1'!E161,"AAAAADWbV6U=")</f>
        <v>#VALUE!</v>
      </c>
      <c r="FK6" t="e">
        <f>AND('Ark1'!F161,"AAAAADWbV6Y=")</f>
        <v>#VALUE!</v>
      </c>
      <c r="FL6" t="e">
        <f>AND('Ark1'!G161,"AAAAADWbV6c=")</f>
        <v>#VALUE!</v>
      </c>
      <c r="FM6" t="e">
        <f>AND('Ark1'!H161,"AAAAADWbV6g=")</f>
        <v>#VALUE!</v>
      </c>
      <c r="FN6">
        <f>IF('Ark1'!162:162,"AAAAADWbV6k=",0)</f>
        <v>0</v>
      </c>
      <c r="FO6" t="e">
        <f>AND('Ark1'!A162,"AAAAADWbV6o=")</f>
        <v>#VALUE!</v>
      </c>
      <c r="FP6" t="e">
        <f>AND('Ark1'!B162,"AAAAADWbV6s=")</f>
        <v>#VALUE!</v>
      </c>
      <c r="FQ6" t="e">
        <f>AND('Ark1'!C162,"AAAAADWbV6w=")</f>
        <v>#VALUE!</v>
      </c>
      <c r="FR6" t="e">
        <f>AND('Ark1'!D162,"AAAAADWbV60=")</f>
        <v>#VALUE!</v>
      </c>
      <c r="FS6" t="e">
        <f>AND('Ark1'!E162,"AAAAADWbV64=")</f>
        <v>#VALUE!</v>
      </c>
      <c r="FT6" t="e">
        <f>AND('Ark1'!F162,"AAAAADWbV68=")</f>
        <v>#VALUE!</v>
      </c>
      <c r="FU6" t="e">
        <f>AND('Ark1'!G162,"AAAAADWbV7A=")</f>
        <v>#VALUE!</v>
      </c>
      <c r="FV6" t="e">
        <f>AND('Ark1'!H162,"AAAAADWbV7E=")</f>
        <v>#VALUE!</v>
      </c>
      <c r="FW6">
        <f>IF('Ark1'!163:163,"AAAAADWbV7I=",0)</f>
        <v>0</v>
      </c>
      <c r="FX6" t="e">
        <f>AND('Ark1'!A163,"AAAAADWbV7M=")</f>
        <v>#VALUE!</v>
      </c>
      <c r="FY6" t="e">
        <f>AND('Ark1'!B163,"AAAAADWbV7Q=")</f>
        <v>#VALUE!</v>
      </c>
      <c r="FZ6" t="e">
        <f>AND('Ark1'!C163,"AAAAADWbV7U=")</f>
        <v>#VALUE!</v>
      </c>
      <c r="GA6" t="e">
        <f>AND('Ark1'!D163,"AAAAADWbV7Y=")</f>
        <v>#VALUE!</v>
      </c>
      <c r="GB6" t="e">
        <f>AND('Ark1'!E163,"AAAAADWbV7c=")</f>
        <v>#VALUE!</v>
      </c>
      <c r="GC6" t="e">
        <f>AND('Ark1'!F163,"AAAAADWbV7g=")</f>
        <v>#VALUE!</v>
      </c>
      <c r="GD6" t="e">
        <f>AND('Ark1'!G163,"AAAAADWbV7k=")</f>
        <v>#VALUE!</v>
      </c>
      <c r="GE6" t="e">
        <f>AND('Ark1'!H163,"AAAAADWbV7o=")</f>
        <v>#VALUE!</v>
      </c>
      <c r="GF6">
        <f>IF('Ark1'!164:164,"AAAAADWbV7s=",0)</f>
        <v>0</v>
      </c>
      <c r="GG6" t="e">
        <f>AND('Ark1'!A164,"AAAAADWbV7w=")</f>
        <v>#VALUE!</v>
      </c>
      <c r="GH6" t="e">
        <f>AND('Ark1'!B164,"AAAAADWbV70=")</f>
        <v>#VALUE!</v>
      </c>
      <c r="GI6" t="e">
        <f>AND('Ark1'!C164,"AAAAADWbV74=")</f>
        <v>#VALUE!</v>
      </c>
      <c r="GJ6" t="e">
        <f>AND('Ark1'!D164,"AAAAADWbV78=")</f>
        <v>#VALUE!</v>
      </c>
      <c r="GK6" t="e">
        <f>AND('Ark1'!E164,"AAAAADWbV8A=")</f>
        <v>#VALUE!</v>
      </c>
      <c r="GL6" t="e">
        <f>AND('Ark1'!F164,"AAAAADWbV8E=")</f>
        <v>#VALUE!</v>
      </c>
      <c r="GM6" t="e">
        <f>AND('Ark1'!G164,"AAAAADWbV8I=")</f>
        <v>#VALUE!</v>
      </c>
      <c r="GN6" t="e">
        <f>AND('Ark1'!H164,"AAAAADWbV8M=")</f>
        <v>#VALUE!</v>
      </c>
      <c r="GO6">
        <f>IF('Ark1'!165:165,"AAAAADWbV8Q=",0)</f>
        <v>0</v>
      </c>
      <c r="GP6" t="e">
        <f>AND('Ark1'!A165,"AAAAADWbV8U=")</f>
        <v>#VALUE!</v>
      </c>
      <c r="GQ6" t="e">
        <f>AND('Ark1'!B165,"AAAAADWbV8Y=")</f>
        <v>#VALUE!</v>
      </c>
      <c r="GR6" t="e">
        <f>AND('Ark1'!C165,"AAAAADWbV8c=")</f>
        <v>#VALUE!</v>
      </c>
      <c r="GS6" t="e">
        <f>AND('Ark1'!D165,"AAAAADWbV8g=")</f>
        <v>#VALUE!</v>
      </c>
      <c r="GT6" t="e">
        <f>AND('Ark1'!E165,"AAAAADWbV8k=")</f>
        <v>#VALUE!</v>
      </c>
      <c r="GU6" t="e">
        <f>AND('Ark1'!F165,"AAAAADWbV8o=")</f>
        <v>#VALUE!</v>
      </c>
      <c r="GV6" t="e">
        <f>AND('Ark1'!G165,"AAAAADWbV8s=")</f>
        <v>#VALUE!</v>
      </c>
      <c r="GW6" t="e">
        <f>AND('Ark1'!H165,"AAAAADWbV8w=")</f>
        <v>#VALUE!</v>
      </c>
      <c r="GX6">
        <f>IF('Ark1'!166:166,"AAAAADWbV80=",0)</f>
        <v>0</v>
      </c>
      <c r="GY6" t="e">
        <f>AND('Ark1'!A166,"AAAAADWbV84=")</f>
        <v>#VALUE!</v>
      </c>
      <c r="GZ6" t="e">
        <f>AND('Ark1'!B166,"AAAAADWbV88=")</f>
        <v>#VALUE!</v>
      </c>
      <c r="HA6" t="e">
        <f>AND('Ark1'!C166,"AAAAADWbV9A=")</f>
        <v>#VALUE!</v>
      </c>
      <c r="HB6" t="e">
        <f>AND('Ark1'!D166,"AAAAADWbV9E=")</f>
        <v>#VALUE!</v>
      </c>
      <c r="HC6" t="e">
        <f>AND('Ark1'!E166,"AAAAADWbV9I=")</f>
        <v>#VALUE!</v>
      </c>
      <c r="HD6" t="e">
        <f>AND('Ark1'!F166,"AAAAADWbV9M=")</f>
        <v>#VALUE!</v>
      </c>
      <c r="HE6" t="e">
        <f>AND('Ark1'!G166,"AAAAADWbV9Q=")</f>
        <v>#VALUE!</v>
      </c>
      <c r="HF6" t="e">
        <f>AND('Ark1'!H166,"AAAAADWbV9U=")</f>
        <v>#VALUE!</v>
      </c>
      <c r="HG6">
        <f>IF('Ark1'!167:167,"AAAAADWbV9Y=",0)</f>
        <v>0</v>
      </c>
      <c r="HH6" t="e">
        <f>AND('Ark1'!A167,"AAAAADWbV9c=")</f>
        <v>#VALUE!</v>
      </c>
      <c r="HI6" t="e">
        <f>AND('Ark1'!B167,"AAAAADWbV9g=")</f>
        <v>#VALUE!</v>
      </c>
      <c r="HJ6" t="e">
        <f>AND('Ark1'!C167,"AAAAADWbV9k=")</f>
        <v>#VALUE!</v>
      </c>
      <c r="HK6" t="e">
        <f>AND('Ark1'!D167,"AAAAADWbV9o=")</f>
        <v>#VALUE!</v>
      </c>
      <c r="HL6" t="e">
        <f>AND('Ark1'!E167,"AAAAADWbV9s=")</f>
        <v>#VALUE!</v>
      </c>
      <c r="HM6" t="e">
        <f>AND('Ark1'!F167,"AAAAADWbV9w=")</f>
        <v>#VALUE!</v>
      </c>
      <c r="HN6" t="e">
        <f>AND('Ark1'!G167,"AAAAADWbV90=")</f>
        <v>#VALUE!</v>
      </c>
      <c r="HO6" t="e">
        <f>AND('Ark1'!H167,"AAAAADWbV94=")</f>
        <v>#VALUE!</v>
      </c>
      <c r="HP6">
        <f>IF('Ark1'!168:168,"AAAAADWbV98=",0)</f>
        <v>0</v>
      </c>
      <c r="HQ6" t="e">
        <f>AND('Ark1'!A168,"AAAAADWbV+A=")</f>
        <v>#VALUE!</v>
      </c>
      <c r="HR6" t="e">
        <f>AND('Ark1'!B168,"AAAAADWbV+E=")</f>
        <v>#VALUE!</v>
      </c>
      <c r="HS6" t="e">
        <f>AND('Ark1'!C168,"AAAAADWbV+I=")</f>
        <v>#VALUE!</v>
      </c>
      <c r="HT6" t="e">
        <f>AND('Ark1'!D168,"AAAAADWbV+M=")</f>
        <v>#VALUE!</v>
      </c>
      <c r="HU6" t="e">
        <f>AND('Ark1'!E168,"AAAAADWbV+Q=")</f>
        <v>#VALUE!</v>
      </c>
      <c r="HV6" t="e">
        <f>AND('Ark1'!F168,"AAAAADWbV+U=")</f>
        <v>#VALUE!</v>
      </c>
      <c r="HW6" t="e">
        <f>AND('Ark1'!G168,"AAAAADWbV+Y=")</f>
        <v>#VALUE!</v>
      </c>
      <c r="HX6" t="e">
        <f>AND('Ark1'!H168,"AAAAADWbV+c=")</f>
        <v>#VALUE!</v>
      </c>
      <c r="HY6">
        <f>IF('Ark1'!169:169,"AAAAADWbV+g=",0)</f>
        <v>0</v>
      </c>
      <c r="HZ6" t="e">
        <f>AND('Ark1'!A169,"AAAAADWbV+k=")</f>
        <v>#VALUE!</v>
      </c>
      <c r="IA6" t="e">
        <f>AND('Ark1'!B169,"AAAAADWbV+o=")</f>
        <v>#VALUE!</v>
      </c>
      <c r="IB6" t="e">
        <f>AND('Ark1'!C169,"AAAAADWbV+s=")</f>
        <v>#VALUE!</v>
      </c>
      <c r="IC6" t="e">
        <f>AND('Ark1'!D169,"AAAAADWbV+w=")</f>
        <v>#VALUE!</v>
      </c>
      <c r="ID6" t="e">
        <f>AND('Ark1'!E169,"AAAAADWbV+0=")</f>
        <v>#VALUE!</v>
      </c>
      <c r="IE6" t="e">
        <f>AND('Ark1'!F169,"AAAAADWbV+4=")</f>
        <v>#VALUE!</v>
      </c>
      <c r="IF6" t="e">
        <f>AND('Ark1'!G169,"AAAAADWbV+8=")</f>
        <v>#VALUE!</v>
      </c>
      <c r="IG6" t="e">
        <f>AND('Ark1'!H169,"AAAAADWbV/A=")</f>
        <v>#VALUE!</v>
      </c>
      <c r="IH6">
        <f>IF('Ark1'!170:170,"AAAAADWbV/E=",0)</f>
        <v>0</v>
      </c>
      <c r="II6" t="e">
        <f>AND('Ark1'!A170,"AAAAADWbV/I=")</f>
        <v>#VALUE!</v>
      </c>
      <c r="IJ6" t="e">
        <f>AND('Ark1'!B170,"AAAAADWbV/M=")</f>
        <v>#VALUE!</v>
      </c>
      <c r="IK6" t="e">
        <f>AND('Ark1'!C170,"AAAAADWbV/Q=")</f>
        <v>#VALUE!</v>
      </c>
      <c r="IL6" t="e">
        <f>AND('Ark1'!D170,"AAAAADWbV/U=")</f>
        <v>#VALUE!</v>
      </c>
      <c r="IM6" t="e">
        <f>AND('Ark1'!E170,"AAAAADWbV/Y=")</f>
        <v>#VALUE!</v>
      </c>
      <c r="IN6" t="e">
        <f>AND('Ark1'!F170,"AAAAADWbV/c=")</f>
        <v>#VALUE!</v>
      </c>
      <c r="IO6" t="e">
        <f>AND('Ark1'!G170,"AAAAADWbV/g=")</f>
        <v>#VALUE!</v>
      </c>
      <c r="IP6" t="e">
        <f>AND('Ark1'!H170,"AAAAADWbV/k=")</f>
        <v>#VALUE!</v>
      </c>
      <c r="IQ6">
        <f>IF('Ark1'!171:171,"AAAAADWbV/o=",0)</f>
        <v>0</v>
      </c>
      <c r="IR6" t="e">
        <f>AND('Ark1'!A171,"AAAAADWbV/s=")</f>
        <v>#VALUE!</v>
      </c>
      <c r="IS6" t="e">
        <f>AND('Ark1'!B171,"AAAAADWbV/w=")</f>
        <v>#VALUE!</v>
      </c>
      <c r="IT6" t="e">
        <f>AND('Ark1'!C171,"AAAAADWbV/0=")</f>
        <v>#VALUE!</v>
      </c>
      <c r="IU6" t="e">
        <f>AND('Ark1'!D171,"AAAAADWbV/4=")</f>
        <v>#VALUE!</v>
      </c>
      <c r="IV6" t="e">
        <f>AND('Ark1'!E171,"AAAAADWbV/8=")</f>
        <v>#VALUE!</v>
      </c>
    </row>
    <row r="7" spans="1:256" x14ac:dyDescent="0.25">
      <c r="A7" t="e">
        <f>AND('Ark1'!F171,"AAAAAD87fQA=")</f>
        <v>#VALUE!</v>
      </c>
      <c r="B7" t="e">
        <f>AND('Ark1'!G171,"AAAAAD87fQE=")</f>
        <v>#VALUE!</v>
      </c>
      <c r="C7" t="e">
        <f>AND('Ark1'!H171,"AAAAAD87fQI=")</f>
        <v>#VALUE!</v>
      </c>
      <c r="D7">
        <f>IF('Ark1'!172:172,"AAAAAD87fQM=",0)</f>
        <v>0</v>
      </c>
      <c r="E7" t="e">
        <f>AND('Ark1'!A172,"AAAAAD87fQQ=")</f>
        <v>#VALUE!</v>
      </c>
      <c r="F7" t="e">
        <f>AND('Ark1'!B172,"AAAAAD87fQU=")</f>
        <v>#VALUE!</v>
      </c>
      <c r="G7" t="e">
        <f>AND('Ark1'!C172,"AAAAAD87fQY=")</f>
        <v>#VALUE!</v>
      </c>
      <c r="H7" t="e">
        <f>AND('Ark1'!D172,"AAAAAD87fQc=")</f>
        <v>#VALUE!</v>
      </c>
      <c r="I7" t="e">
        <f>AND('Ark1'!E172,"AAAAAD87fQg=")</f>
        <v>#VALUE!</v>
      </c>
      <c r="J7" t="e">
        <f>AND('Ark1'!F172,"AAAAAD87fQk=")</f>
        <v>#VALUE!</v>
      </c>
      <c r="K7" t="e">
        <f>AND('Ark1'!G172,"AAAAAD87fQo=")</f>
        <v>#VALUE!</v>
      </c>
      <c r="L7" t="e">
        <f>AND('Ark1'!H172,"AAAAAD87fQs=")</f>
        <v>#VALUE!</v>
      </c>
      <c r="M7">
        <f>IF('Ark1'!173:173,"AAAAAD87fQw=",0)</f>
        <v>0</v>
      </c>
      <c r="N7" t="e">
        <f>AND('Ark1'!A173,"AAAAAD87fQ0=")</f>
        <v>#VALUE!</v>
      </c>
      <c r="O7" t="e">
        <f>AND('Ark1'!B173,"AAAAAD87fQ4=")</f>
        <v>#VALUE!</v>
      </c>
      <c r="P7" t="e">
        <f>AND('Ark1'!C173,"AAAAAD87fQ8=")</f>
        <v>#VALUE!</v>
      </c>
      <c r="Q7" t="e">
        <f>AND('Ark1'!D173,"AAAAAD87fRA=")</f>
        <v>#VALUE!</v>
      </c>
      <c r="R7" t="e">
        <f>AND('Ark1'!E173,"AAAAAD87fRE=")</f>
        <v>#VALUE!</v>
      </c>
      <c r="S7" t="e">
        <f>AND('Ark1'!F173,"AAAAAD87fRI=")</f>
        <v>#VALUE!</v>
      </c>
      <c r="T7" t="e">
        <f>AND('Ark1'!G173,"AAAAAD87fRM=")</f>
        <v>#VALUE!</v>
      </c>
      <c r="U7" t="e">
        <f>AND('Ark1'!H173,"AAAAAD87fRQ=")</f>
        <v>#VALUE!</v>
      </c>
      <c r="V7">
        <f>IF('Ark1'!174:174,"AAAAAD87fRU=",0)</f>
        <v>0</v>
      </c>
      <c r="W7" t="e">
        <f>AND('Ark1'!A174,"AAAAAD87fRY=")</f>
        <v>#VALUE!</v>
      </c>
      <c r="X7" t="e">
        <f>AND('Ark1'!B174,"AAAAAD87fRc=")</f>
        <v>#VALUE!</v>
      </c>
      <c r="Y7" t="e">
        <f>AND('Ark1'!C174,"AAAAAD87fRg=")</f>
        <v>#VALUE!</v>
      </c>
      <c r="Z7" t="e">
        <f>AND('Ark1'!D174,"AAAAAD87fRk=")</f>
        <v>#VALUE!</v>
      </c>
      <c r="AA7" t="e">
        <f>AND('Ark1'!E174,"AAAAAD87fRo=")</f>
        <v>#VALUE!</v>
      </c>
      <c r="AB7" t="e">
        <f>AND('Ark1'!F174,"AAAAAD87fRs=")</f>
        <v>#VALUE!</v>
      </c>
      <c r="AC7" t="e">
        <f>AND('Ark1'!G174,"AAAAAD87fRw=")</f>
        <v>#VALUE!</v>
      </c>
      <c r="AD7" t="e">
        <f>AND('Ark1'!H174,"AAAAAD87fR0=")</f>
        <v>#VALUE!</v>
      </c>
      <c r="AE7">
        <f>IF('Ark1'!175:175,"AAAAAD87fR4=",0)</f>
        <v>0</v>
      </c>
      <c r="AF7" t="e">
        <f>AND('Ark1'!A175,"AAAAAD87fR8=")</f>
        <v>#VALUE!</v>
      </c>
      <c r="AG7" t="e">
        <f>AND('Ark1'!B175,"AAAAAD87fSA=")</f>
        <v>#VALUE!</v>
      </c>
      <c r="AH7" t="e">
        <f>AND('Ark1'!C175,"AAAAAD87fSE=")</f>
        <v>#VALUE!</v>
      </c>
      <c r="AI7" t="e">
        <f>AND('Ark1'!D175,"AAAAAD87fSI=")</f>
        <v>#VALUE!</v>
      </c>
      <c r="AJ7" t="e">
        <f>AND('Ark1'!E175,"AAAAAD87fSM=")</f>
        <v>#VALUE!</v>
      </c>
      <c r="AK7" t="e">
        <f>AND('Ark1'!F175,"AAAAAD87fSQ=")</f>
        <v>#VALUE!</v>
      </c>
      <c r="AL7" t="e">
        <f>AND('Ark1'!G175,"AAAAAD87fSU=")</f>
        <v>#VALUE!</v>
      </c>
      <c r="AM7" t="e">
        <f>AND('Ark1'!H175,"AAAAAD87fSY=")</f>
        <v>#VALUE!</v>
      </c>
      <c r="AN7">
        <f>IF('Ark1'!176:176,"AAAAAD87fSc=",0)</f>
        <v>0</v>
      </c>
      <c r="AO7" t="e">
        <f>AND('Ark1'!A176,"AAAAAD87fSg=")</f>
        <v>#VALUE!</v>
      </c>
      <c r="AP7" t="e">
        <f>AND('Ark1'!B176,"AAAAAD87fSk=")</f>
        <v>#VALUE!</v>
      </c>
      <c r="AQ7" t="e">
        <f>AND('Ark1'!C176,"AAAAAD87fSo=")</f>
        <v>#VALUE!</v>
      </c>
      <c r="AR7" t="e">
        <f>AND('Ark1'!D176,"AAAAAD87fSs=")</f>
        <v>#VALUE!</v>
      </c>
      <c r="AS7" t="e">
        <f>AND('Ark1'!E176,"AAAAAD87fSw=")</f>
        <v>#VALUE!</v>
      </c>
      <c r="AT7" t="e">
        <f>AND('Ark1'!F176,"AAAAAD87fS0=")</f>
        <v>#VALUE!</v>
      </c>
      <c r="AU7" t="e">
        <f>AND('Ark1'!G176,"AAAAAD87fS4=")</f>
        <v>#VALUE!</v>
      </c>
      <c r="AV7" t="e">
        <f>AND('Ark1'!H176,"AAAAAD87fS8=")</f>
        <v>#VALUE!</v>
      </c>
      <c r="AW7">
        <f>IF('Ark1'!177:177,"AAAAAD87fTA=",0)</f>
        <v>0</v>
      </c>
      <c r="AX7" t="e">
        <f>AND('Ark1'!A177,"AAAAAD87fTE=")</f>
        <v>#VALUE!</v>
      </c>
      <c r="AY7" t="e">
        <f>AND('Ark1'!B177,"AAAAAD87fTI=")</f>
        <v>#VALUE!</v>
      </c>
      <c r="AZ7" t="e">
        <f>AND('Ark1'!C177,"AAAAAD87fTM=")</f>
        <v>#VALUE!</v>
      </c>
      <c r="BA7" t="e">
        <f>AND('Ark1'!D177,"AAAAAD87fTQ=")</f>
        <v>#VALUE!</v>
      </c>
      <c r="BB7" t="e">
        <f>AND('Ark1'!E177,"AAAAAD87fTU=")</f>
        <v>#VALUE!</v>
      </c>
      <c r="BC7" t="e">
        <f>AND('Ark1'!F177,"AAAAAD87fTY=")</f>
        <v>#VALUE!</v>
      </c>
      <c r="BD7" t="e">
        <f>AND('Ark1'!G177,"AAAAAD87fTc=")</f>
        <v>#VALUE!</v>
      </c>
      <c r="BE7" t="e">
        <f>AND('Ark1'!H177,"AAAAAD87fTg=")</f>
        <v>#VALUE!</v>
      </c>
      <c r="BF7">
        <f>IF('Ark1'!178:178,"AAAAAD87fTk=",0)</f>
        <v>0</v>
      </c>
      <c r="BG7" t="e">
        <f>AND('Ark1'!A178,"AAAAAD87fTo=")</f>
        <v>#VALUE!</v>
      </c>
      <c r="BH7" t="e">
        <f>AND('Ark1'!B178,"AAAAAD87fTs=")</f>
        <v>#VALUE!</v>
      </c>
      <c r="BI7" t="e">
        <f>AND('Ark1'!C178,"AAAAAD87fTw=")</f>
        <v>#VALUE!</v>
      </c>
      <c r="BJ7" t="e">
        <f>AND('Ark1'!D178,"AAAAAD87fT0=")</f>
        <v>#VALUE!</v>
      </c>
      <c r="BK7" t="e">
        <f>AND('Ark1'!E178,"AAAAAD87fT4=")</f>
        <v>#VALUE!</v>
      </c>
      <c r="BL7" t="e">
        <f>AND('Ark1'!F178,"AAAAAD87fT8=")</f>
        <v>#VALUE!</v>
      </c>
      <c r="BM7" t="e">
        <f>AND('Ark1'!G178,"AAAAAD87fUA=")</f>
        <v>#VALUE!</v>
      </c>
      <c r="BN7" t="e">
        <f>AND('Ark1'!H178,"AAAAAD87fUE=")</f>
        <v>#VALUE!</v>
      </c>
      <c r="BO7">
        <f>IF('Ark1'!179:179,"AAAAAD87fUI=",0)</f>
        <v>0</v>
      </c>
      <c r="BP7" t="e">
        <f>AND('Ark1'!A179,"AAAAAD87fUM=")</f>
        <v>#VALUE!</v>
      </c>
      <c r="BQ7" t="e">
        <f>AND('Ark1'!B179,"AAAAAD87fUQ=")</f>
        <v>#VALUE!</v>
      </c>
      <c r="BR7" t="e">
        <f>AND('Ark1'!C179,"AAAAAD87fUU=")</f>
        <v>#VALUE!</v>
      </c>
      <c r="BS7" t="e">
        <f>AND('Ark1'!D179,"AAAAAD87fUY=")</f>
        <v>#VALUE!</v>
      </c>
      <c r="BT7" t="e">
        <f>AND('Ark1'!E179,"AAAAAD87fUc=")</f>
        <v>#VALUE!</v>
      </c>
      <c r="BU7" t="e">
        <f>AND('Ark1'!F179,"AAAAAD87fUg=")</f>
        <v>#VALUE!</v>
      </c>
      <c r="BV7" t="e">
        <f>AND('Ark1'!G179,"AAAAAD87fUk=")</f>
        <v>#VALUE!</v>
      </c>
      <c r="BW7" t="e">
        <f>AND('Ark1'!H179,"AAAAAD87fUo=")</f>
        <v>#VALUE!</v>
      </c>
      <c r="BX7">
        <f>IF('Ark1'!180:180,"AAAAAD87fUs=",0)</f>
        <v>0</v>
      </c>
      <c r="BY7" t="e">
        <f>AND('Ark1'!A180,"AAAAAD87fUw=")</f>
        <v>#VALUE!</v>
      </c>
      <c r="BZ7" t="e">
        <f>AND('Ark1'!B180,"AAAAAD87fU0=")</f>
        <v>#VALUE!</v>
      </c>
      <c r="CA7" t="e">
        <f>AND('Ark1'!C180,"AAAAAD87fU4=")</f>
        <v>#VALUE!</v>
      </c>
      <c r="CB7" t="e">
        <f>AND('Ark1'!D180,"AAAAAD87fU8=")</f>
        <v>#VALUE!</v>
      </c>
      <c r="CC7" t="e">
        <f>AND('Ark1'!E180,"AAAAAD87fVA=")</f>
        <v>#VALUE!</v>
      </c>
      <c r="CD7" t="e">
        <f>AND('Ark1'!F180,"AAAAAD87fVE=")</f>
        <v>#VALUE!</v>
      </c>
      <c r="CE7" t="e">
        <f>AND('Ark1'!G180,"AAAAAD87fVI=")</f>
        <v>#VALUE!</v>
      </c>
      <c r="CF7" t="e">
        <f>AND('Ark1'!H180,"AAAAAD87fVM=")</f>
        <v>#VALUE!</v>
      </c>
      <c r="CG7">
        <f>IF('Ark1'!181:181,"AAAAAD87fVQ=",0)</f>
        <v>0</v>
      </c>
      <c r="CH7" t="e">
        <f>AND('Ark1'!A181,"AAAAAD87fVU=")</f>
        <v>#VALUE!</v>
      </c>
      <c r="CI7" t="e">
        <f>AND('Ark1'!B181,"AAAAAD87fVY=")</f>
        <v>#VALUE!</v>
      </c>
      <c r="CJ7" t="e">
        <f>AND('Ark1'!C181,"AAAAAD87fVc=")</f>
        <v>#VALUE!</v>
      </c>
      <c r="CK7" t="e">
        <f>AND('Ark1'!D181,"AAAAAD87fVg=")</f>
        <v>#VALUE!</v>
      </c>
      <c r="CL7" t="e">
        <f>AND('Ark1'!E181,"AAAAAD87fVk=")</f>
        <v>#VALUE!</v>
      </c>
      <c r="CM7" t="e">
        <f>AND('Ark1'!F181,"AAAAAD87fVo=")</f>
        <v>#VALUE!</v>
      </c>
      <c r="CN7" t="e">
        <f>AND('Ark1'!G181,"AAAAAD87fVs=")</f>
        <v>#VALUE!</v>
      </c>
      <c r="CO7" t="e">
        <f>AND('Ark1'!H181,"AAAAAD87fVw=")</f>
        <v>#VALUE!</v>
      </c>
      <c r="CP7">
        <f>IF('Ark1'!182:182,"AAAAAD87fV0=",0)</f>
        <v>0</v>
      </c>
      <c r="CQ7" t="e">
        <f>AND('Ark1'!A182,"AAAAAD87fV4=")</f>
        <v>#VALUE!</v>
      </c>
      <c r="CR7" t="e">
        <f>AND('Ark1'!B182,"AAAAAD87fV8=")</f>
        <v>#VALUE!</v>
      </c>
      <c r="CS7" t="e">
        <f>AND('Ark1'!C182,"AAAAAD87fWA=")</f>
        <v>#VALUE!</v>
      </c>
      <c r="CT7" t="e">
        <f>AND('Ark1'!D182,"AAAAAD87fWE=")</f>
        <v>#VALUE!</v>
      </c>
      <c r="CU7" t="e">
        <f>AND('Ark1'!E182,"AAAAAD87fWI=")</f>
        <v>#VALUE!</v>
      </c>
      <c r="CV7" t="e">
        <f>AND('Ark1'!F182,"AAAAAD87fWM=")</f>
        <v>#VALUE!</v>
      </c>
      <c r="CW7" t="e">
        <f>AND('Ark1'!G182,"AAAAAD87fWQ=")</f>
        <v>#VALUE!</v>
      </c>
      <c r="CX7" t="e">
        <f>AND('Ark1'!H182,"AAAAAD87fWU=")</f>
        <v>#VALUE!</v>
      </c>
      <c r="CY7">
        <f>IF('Ark1'!183:183,"AAAAAD87fWY=",0)</f>
        <v>0</v>
      </c>
      <c r="CZ7" t="e">
        <f>AND('Ark1'!A183,"AAAAAD87fWc=")</f>
        <v>#VALUE!</v>
      </c>
      <c r="DA7" t="e">
        <f>AND('Ark1'!B183,"AAAAAD87fWg=")</f>
        <v>#VALUE!</v>
      </c>
      <c r="DB7" t="e">
        <f>AND('Ark1'!C183,"AAAAAD87fWk=")</f>
        <v>#VALUE!</v>
      </c>
      <c r="DC7" t="e">
        <f>AND('Ark1'!D183,"AAAAAD87fWo=")</f>
        <v>#VALUE!</v>
      </c>
      <c r="DD7" t="e">
        <f>AND('Ark1'!E183,"AAAAAD87fWs=")</f>
        <v>#VALUE!</v>
      </c>
      <c r="DE7" t="e">
        <f>AND('Ark1'!F183,"AAAAAD87fWw=")</f>
        <v>#VALUE!</v>
      </c>
      <c r="DF7" t="e">
        <f>AND('Ark1'!G183,"AAAAAD87fW0=")</f>
        <v>#VALUE!</v>
      </c>
      <c r="DG7" t="e">
        <f>AND('Ark1'!H183,"AAAAAD87fW4=")</f>
        <v>#VALUE!</v>
      </c>
      <c r="DH7">
        <f>IF('Ark1'!184:184,"AAAAAD87fW8=",0)</f>
        <v>0</v>
      </c>
      <c r="DI7" t="e">
        <f>AND('Ark1'!A184,"AAAAAD87fXA=")</f>
        <v>#VALUE!</v>
      </c>
      <c r="DJ7" t="e">
        <f>AND('Ark1'!B184,"AAAAAD87fXE=")</f>
        <v>#VALUE!</v>
      </c>
      <c r="DK7" t="e">
        <f>AND('Ark1'!C184,"AAAAAD87fXI=")</f>
        <v>#VALUE!</v>
      </c>
      <c r="DL7" t="e">
        <f>AND('Ark1'!D184,"AAAAAD87fXM=")</f>
        <v>#VALUE!</v>
      </c>
      <c r="DM7" t="e">
        <f>AND('Ark1'!E184,"AAAAAD87fXQ=")</f>
        <v>#VALUE!</v>
      </c>
      <c r="DN7" t="e">
        <f>AND('Ark1'!F184,"AAAAAD87fXU=")</f>
        <v>#VALUE!</v>
      </c>
      <c r="DO7" t="e">
        <f>AND('Ark1'!G184,"AAAAAD87fXY=")</f>
        <v>#VALUE!</v>
      </c>
      <c r="DP7" t="e">
        <f>AND('Ark1'!H184,"AAAAAD87fXc=")</f>
        <v>#VALUE!</v>
      </c>
      <c r="DQ7">
        <f>IF('Ark1'!185:185,"AAAAAD87fXg=",0)</f>
        <v>0</v>
      </c>
      <c r="DR7" t="e">
        <f>AND('Ark1'!A185,"AAAAAD87fXk=")</f>
        <v>#VALUE!</v>
      </c>
      <c r="DS7" t="e">
        <f>AND('Ark1'!B185,"AAAAAD87fXo=")</f>
        <v>#VALUE!</v>
      </c>
      <c r="DT7" t="e">
        <f>AND('Ark1'!C185,"AAAAAD87fXs=")</f>
        <v>#VALUE!</v>
      </c>
      <c r="DU7" t="e">
        <f>AND('Ark1'!D185,"AAAAAD87fXw=")</f>
        <v>#VALUE!</v>
      </c>
      <c r="DV7" t="e">
        <f>AND('Ark1'!E185,"AAAAAD87fX0=")</f>
        <v>#VALUE!</v>
      </c>
      <c r="DW7" t="e">
        <f>AND('Ark1'!F185,"AAAAAD87fX4=")</f>
        <v>#VALUE!</v>
      </c>
      <c r="DX7" t="e">
        <f>AND('Ark1'!G185,"AAAAAD87fX8=")</f>
        <v>#VALUE!</v>
      </c>
      <c r="DY7" t="e">
        <f>AND('Ark1'!H185,"AAAAAD87fYA=")</f>
        <v>#VALUE!</v>
      </c>
      <c r="DZ7">
        <f>IF('Ark1'!186:186,"AAAAAD87fYE=",0)</f>
        <v>0</v>
      </c>
      <c r="EA7" t="e">
        <f>AND('Ark1'!A186,"AAAAAD87fYI=")</f>
        <v>#VALUE!</v>
      </c>
      <c r="EB7" t="e">
        <f>AND('Ark1'!B186,"AAAAAD87fYM=")</f>
        <v>#VALUE!</v>
      </c>
      <c r="EC7" t="e">
        <f>AND('Ark1'!C186,"AAAAAD87fYQ=")</f>
        <v>#VALUE!</v>
      </c>
      <c r="ED7" t="e">
        <f>AND('Ark1'!D186,"AAAAAD87fYU=")</f>
        <v>#VALUE!</v>
      </c>
      <c r="EE7" t="e">
        <f>AND('Ark1'!E186,"AAAAAD87fYY=")</f>
        <v>#VALUE!</v>
      </c>
      <c r="EF7" t="e">
        <f>AND('Ark1'!F186,"AAAAAD87fYc=")</f>
        <v>#VALUE!</v>
      </c>
      <c r="EG7" t="e">
        <f>AND('Ark1'!G186,"AAAAAD87fYg=")</f>
        <v>#VALUE!</v>
      </c>
      <c r="EH7" t="e">
        <f>AND('Ark1'!H186,"AAAAAD87fYk=")</f>
        <v>#VALUE!</v>
      </c>
      <c r="EI7">
        <f>IF('Ark1'!187:187,"AAAAAD87fYo=",0)</f>
        <v>0</v>
      </c>
      <c r="EJ7" t="e">
        <f>AND('Ark1'!A187,"AAAAAD87fYs=")</f>
        <v>#VALUE!</v>
      </c>
      <c r="EK7" t="e">
        <f>AND('Ark1'!B187,"AAAAAD87fYw=")</f>
        <v>#VALUE!</v>
      </c>
      <c r="EL7" t="e">
        <f>AND('Ark1'!C187,"AAAAAD87fY0=")</f>
        <v>#VALUE!</v>
      </c>
      <c r="EM7" t="e">
        <f>AND('Ark1'!D187,"AAAAAD87fY4=")</f>
        <v>#VALUE!</v>
      </c>
      <c r="EN7" t="e">
        <f>AND('Ark1'!E187,"AAAAAD87fY8=")</f>
        <v>#VALUE!</v>
      </c>
      <c r="EO7" t="e">
        <f>AND('Ark1'!F187,"AAAAAD87fZA=")</f>
        <v>#VALUE!</v>
      </c>
      <c r="EP7" t="e">
        <f>AND('Ark1'!G187,"AAAAAD87fZE=")</f>
        <v>#VALUE!</v>
      </c>
      <c r="EQ7" t="e">
        <f>AND('Ark1'!H187,"AAAAAD87fZI=")</f>
        <v>#VALUE!</v>
      </c>
      <c r="ER7">
        <f>IF('Ark1'!188:188,"AAAAAD87fZM=",0)</f>
        <v>0</v>
      </c>
      <c r="ES7" t="e">
        <f>AND('Ark1'!A188,"AAAAAD87fZQ=")</f>
        <v>#VALUE!</v>
      </c>
      <c r="ET7" t="e">
        <f>AND('Ark1'!B188,"AAAAAD87fZU=")</f>
        <v>#VALUE!</v>
      </c>
      <c r="EU7" t="e">
        <f>AND('Ark1'!C188,"AAAAAD87fZY=")</f>
        <v>#VALUE!</v>
      </c>
      <c r="EV7" t="e">
        <f>AND('Ark1'!D188,"AAAAAD87fZc=")</f>
        <v>#VALUE!</v>
      </c>
      <c r="EW7" t="e">
        <f>AND('Ark1'!E188,"AAAAAD87fZg=")</f>
        <v>#VALUE!</v>
      </c>
      <c r="EX7" t="e">
        <f>AND('Ark1'!F188,"AAAAAD87fZk=")</f>
        <v>#VALUE!</v>
      </c>
      <c r="EY7" t="e">
        <f>AND('Ark1'!G188,"AAAAAD87fZo=")</f>
        <v>#VALUE!</v>
      </c>
      <c r="EZ7" t="e">
        <f>AND('Ark1'!H188,"AAAAAD87fZs=")</f>
        <v>#VALUE!</v>
      </c>
      <c r="FA7">
        <f>IF('Ark1'!189:189,"AAAAAD87fZw=",0)</f>
        <v>0</v>
      </c>
      <c r="FB7" t="e">
        <f>AND('Ark1'!A189,"AAAAAD87fZ0=")</f>
        <v>#VALUE!</v>
      </c>
      <c r="FC7" t="e">
        <f>AND('Ark1'!B189,"AAAAAD87fZ4=")</f>
        <v>#VALUE!</v>
      </c>
      <c r="FD7" t="e">
        <f>AND('Ark1'!C189,"AAAAAD87fZ8=")</f>
        <v>#VALUE!</v>
      </c>
      <c r="FE7" t="e">
        <f>AND('Ark1'!D189,"AAAAAD87faA=")</f>
        <v>#VALUE!</v>
      </c>
      <c r="FF7" t="e">
        <f>AND('Ark1'!E189,"AAAAAD87faE=")</f>
        <v>#VALUE!</v>
      </c>
      <c r="FG7" t="e">
        <f>AND('Ark1'!F189,"AAAAAD87faI=")</f>
        <v>#VALUE!</v>
      </c>
      <c r="FH7" t="e">
        <f>AND('Ark1'!G189,"AAAAAD87faM=")</f>
        <v>#VALUE!</v>
      </c>
      <c r="FI7" t="e">
        <f>AND('Ark1'!H189,"AAAAAD87faQ=")</f>
        <v>#VALUE!</v>
      </c>
      <c r="FJ7">
        <f>IF('Ark1'!190:190,"AAAAAD87faU=",0)</f>
        <v>0</v>
      </c>
      <c r="FK7" t="e">
        <f>AND('Ark1'!A190,"AAAAAD87faY=")</f>
        <v>#VALUE!</v>
      </c>
      <c r="FL7" t="e">
        <f>AND('Ark1'!B190,"AAAAAD87fac=")</f>
        <v>#VALUE!</v>
      </c>
      <c r="FM7" t="e">
        <f>AND('Ark1'!C190,"AAAAAD87fag=")</f>
        <v>#VALUE!</v>
      </c>
      <c r="FN7" t="e">
        <f>AND('Ark1'!D190,"AAAAAD87fak=")</f>
        <v>#VALUE!</v>
      </c>
      <c r="FO7" t="e">
        <f>AND('Ark1'!E190,"AAAAAD87fao=")</f>
        <v>#VALUE!</v>
      </c>
      <c r="FP7" t="e">
        <f>AND('Ark1'!F190,"AAAAAD87fas=")</f>
        <v>#VALUE!</v>
      </c>
      <c r="FQ7" t="e">
        <f>AND('Ark1'!G190,"AAAAAD87faw=")</f>
        <v>#VALUE!</v>
      </c>
      <c r="FR7" t="e">
        <f>AND('Ark1'!H190,"AAAAAD87fa0=")</f>
        <v>#VALUE!</v>
      </c>
      <c r="FS7">
        <f>IF('Ark1'!191:191,"AAAAAD87fa4=",0)</f>
        <v>0</v>
      </c>
      <c r="FT7" t="e">
        <f>AND('Ark1'!A191,"AAAAAD87fa8=")</f>
        <v>#VALUE!</v>
      </c>
      <c r="FU7" t="e">
        <f>AND('Ark1'!B191,"AAAAAD87fbA=")</f>
        <v>#VALUE!</v>
      </c>
      <c r="FV7" t="e">
        <f>AND('Ark1'!C191,"AAAAAD87fbE=")</f>
        <v>#VALUE!</v>
      </c>
      <c r="FW7" t="e">
        <f>AND('Ark1'!D191,"AAAAAD87fbI=")</f>
        <v>#VALUE!</v>
      </c>
      <c r="FX7" t="e">
        <f>AND('Ark1'!E191,"AAAAAD87fbM=")</f>
        <v>#VALUE!</v>
      </c>
      <c r="FY7" t="e">
        <f>AND('Ark1'!F191,"AAAAAD87fbQ=")</f>
        <v>#VALUE!</v>
      </c>
      <c r="FZ7" t="e">
        <f>AND('Ark1'!G191,"AAAAAD87fbU=")</f>
        <v>#VALUE!</v>
      </c>
      <c r="GA7" t="e">
        <f>AND('Ark1'!H191,"AAAAAD87fbY=")</f>
        <v>#VALUE!</v>
      </c>
      <c r="GB7">
        <f>IF('Ark1'!192:192,"AAAAAD87fbc=",0)</f>
        <v>0</v>
      </c>
      <c r="GC7" t="e">
        <f>AND('Ark1'!A192,"AAAAAD87fbg=")</f>
        <v>#VALUE!</v>
      </c>
      <c r="GD7" t="e">
        <f>AND('Ark1'!B192,"AAAAAD87fbk=")</f>
        <v>#VALUE!</v>
      </c>
      <c r="GE7" t="e">
        <f>AND('Ark1'!C192,"AAAAAD87fbo=")</f>
        <v>#VALUE!</v>
      </c>
      <c r="GF7" t="e">
        <f>AND('Ark1'!D192,"AAAAAD87fbs=")</f>
        <v>#VALUE!</v>
      </c>
      <c r="GG7" t="e">
        <f>AND('Ark1'!E192,"AAAAAD87fbw=")</f>
        <v>#VALUE!</v>
      </c>
      <c r="GH7" t="e">
        <f>AND('Ark1'!F192,"AAAAAD87fb0=")</f>
        <v>#VALUE!</v>
      </c>
      <c r="GI7" t="e">
        <f>AND('Ark1'!G192,"AAAAAD87fb4=")</f>
        <v>#VALUE!</v>
      </c>
      <c r="GJ7" t="e">
        <f>AND('Ark1'!H192,"AAAAAD87fb8=")</f>
        <v>#VALUE!</v>
      </c>
      <c r="GK7">
        <f>IF('Ark1'!193:193,"AAAAAD87fcA=",0)</f>
        <v>0</v>
      </c>
      <c r="GL7" t="e">
        <f>AND('Ark1'!A193,"AAAAAD87fcE=")</f>
        <v>#VALUE!</v>
      </c>
      <c r="GM7" t="e">
        <f>AND('Ark1'!B193,"AAAAAD87fcI=")</f>
        <v>#VALUE!</v>
      </c>
      <c r="GN7" t="e">
        <f>AND('Ark1'!C193,"AAAAAD87fcM=")</f>
        <v>#VALUE!</v>
      </c>
      <c r="GO7" t="e">
        <f>AND('Ark1'!D193,"AAAAAD87fcQ=")</f>
        <v>#VALUE!</v>
      </c>
      <c r="GP7" t="e">
        <f>AND('Ark1'!E193,"AAAAAD87fcU=")</f>
        <v>#VALUE!</v>
      </c>
      <c r="GQ7" t="e">
        <f>AND('Ark1'!F193,"AAAAAD87fcY=")</f>
        <v>#VALUE!</v>
      </c>
      <c r="GR7" t="e">
        <f>AND('Ark1'!G193,"AAAAAD87fcc=")</f>
        <v>#VALUE!</v>
      </c>
      <c r="GS7" t="e">
        <f>AND('Ark1'!H193,"AAAAAD87fcg=")</f>
        <v>#VALUE!</v>
      </c>
      <c r="GT7">
        <f>IF('Ark1'!194:194,"AAAAAD87fck=",0)</f>
        <v>0</v>
      </c>
      <c r="GU7" t="e">
        <f>AND('Ark1'!A194,"AAAAAD87fco=")</f>
        <v>#VALUE!</v>
      </c>
      <c r="GV7" t="e">
        <f>AND('Ark1'!B194,"AAAAAD87fcs=")</f>
        <v>#VALUE!</v>
      </c>
      <c r="GW7" t="e">
        <f>AND('Ark1'!C194,"AAAAAD87fcw=")</f>
        <v>#VALUE!</v>
      </c>
      <c r="GX7" t="e">
        <f>AND('Ark1'!D194,"AAAAAD87fc0=")</f>
        <v>#VALUE!</v>
      </c>
      <c r="GY7" t="e">
        <f>AND('Ark1'!E194,"AAAAAD87fc4=")</f>
        <v>#VALUE!</v>
      </c>
      <c r="GZ7" t="e">
        <f>AND('Ark1'!F194,"AAAAAD87fc8=")</f>
        <v>#VALUE!</v>
      </c>
      <c r="HA7" t="e">
        <f>AND('Ark1'!G194,"AAAAAD87fdA=")</f>
        <v>#VALUE!</v>
      </c>
      <c r="HB7" t="e">
        <f>AND('Ark1'!H194,"AAAAAD87fdE=")</f>
        <v>#VALUE!</v>
      </c>
      <c r="HC7">
        <f>IF('Ark1'!195:195,"AAAAAD87fdI=",0)</f>
        <v>0</v>
      </c>
      <c r="HD7" t="e">
        <f>AND('Ark1'!A195,"AAAAAD87fdM=")</f>
        <v>#VALUE!</v>
      </c>
      <c r="HE7" t="e">
        <f>AND('Ark1'!B195,"AAAAAD87fdQ=")</f>
        <v>#VALUE!</v>
      </c>
      <c r="HF7" t="e">
        <f>AND('Ark1'!C195,"AAAAAD87fdU=")</f>
        <v>#VALUE!</v>
      </c>
      <c r="HG7" t="e">
        <f>AND('Ark1'!D195,"AAAAAD87fdY=")</f>
        <v>#VALUE!</v>
      </c>
      <c r="HH7" t="e">
        <f>AND('Ark1'!E195,"AAAAAD87fdc=")</f>
        <v>#VALUE!</v>
      </c>
      <c r="HI7" t="e">
        <f>AND('Ark1'!F195,"AAAAAD87fdg=")</f>
        <v>#VALUE!</v>
      </c>
      <c r="HJ7" t="e">
        <f>AND('Ark1'!G195,"AAAAAD87fdk=")</f>
        <v>#VALUE!</v>
      </c>
      <c r="HK7" t="e">
        <f>AND('Ark1'!H195,"AAAAAD87fdo=")</f>
        <v>#VALUE!</v>
      </c>
      <c r="HL7">
        <f>IF('Ark1'!196:196,"AAAAAD87fds=",0)</f>
        <v>0</v>
      </c>
      <c r="HM7" t="e">
        <f>AND('Ark1'!A196,"AAAAAD87fdw=")</f>
        <v>#VALUE!</v>
      </c>
      <c r="HN7" t="e">
        <f>AND('Ark1'!B196,"AAAAAD87fd0=")</f>
        <v>#VALUE!</v>
      </c>
      <c r="HO7" t="e">
        <f>AND('Ark1'!C196,"AAAAAD87fd4=")</f>
        <v>#VALUE!</v>
      </c>
      <c r="HP7" t="e">
        <f>AND('Ark1'!D196,"AAAAAD87fd8=")</f>
        <v>#VALUE!</v>
      </c>
      <c r="HQ7" t="e">
        <f>AND('Ark1'!E196,"AAAAAD87feA=")</f>
        <v>#VALUE!</v>
      </c>
      <c r="HR7" t="e">
        <f>AND('Ark1'!F196,"AAAAAD87feE=")</f>
        <v>#VALUE!</v>
      </c>
      <c r="HS7" t="e">
        <f>AND('Ark1'!G196,"AAAAAD87feI=")</f>
        <v>#VALUE!</v>
      </c>
      <c r="HT7" t="e">
        <f>AND('Ark1'!H196,"AAAAAD87feM=")</f>
        <v>#VALUE!</v>
      </c>
      <c r="HU7">
        <f>IF('Ark1'!197:197,"AAAAAD87feQ=",0)</f>
        <v>0</v>
      </c>
      <c r="HV7" t="e">
        <f>AND('Ark1'!A197,"AAAAAD87feU=")</f>
        <v>#VALUE!</v>
      </c>
      <c r="HW7" t="e">
        <f>AND('Ark1'!B197,"AAAAAD87feY=")</f>
        <v>#VALUE!</v>
      </c>
      <c r="HX7" t="e">
        <f>AND('Ark1'!C197,"AAAAAD87fec=")</f>
        <v>#VALUE!</v>
      </c>
      <c r="HY7" t="e">
        <f>AND('Ark1'!D197,"AAAAAD87feg=")</f>
        <v>#VALUE!</v>
      </c>
      <c r="HZ7" t="e">
        <f>AND('Ark1'!E197,"AAAAAD87fek=")</f>
        <v>#VALUE!</v>
      </c>
      <c r="IA7" t="e">
        <f>AND('Ark1'!F197,"AAAAAD87feo=")</f>
        <v>#VALUE!</v>
      </c>
      <c r="IB7" t="e">
        <f>AND('Ark1'!G197,"AAAAAD87fes=")</f>
        <v>#VALUE!</v>
      </c>
      <c r="IC7" t="e">
        <f>AND('Ark1'!H197,"AAAAAD87few=")</f>
        <v>#VALUE!</v>
      </c>
      <c r="ID7">
        <f>IF('Ark1'!198:198,"AAAAAD87fe0=",0)</f>
        <v>0</v>
      </c>
      <c r="IE7" t="e">
        <f>AND('Ark1'!A198,"AAAAAD87fe4=")</f>
        <v>#VALUE!</v>
      </c>
      <c r="IF7" t="e">
        <f>AND('Ark1'!B198,"AAAAAD87fe8=")</f>
        <v>#VALUE!</v>
      </c>
      <c r="IG7" t="e">
        <f>AND('Ark1'!C198,"AAAAAD87ffA=")</f>
        <v>#VALUE!</v>
      </c>
      <c r="IH7" t="e">
        <f>AND('Ark1'!D198,"AAAAAD87ffE=")</f>
        <v>#VALUE!</v>
      </c>
      <c r="II7" t="e">
        <f>AND('Ark1'!E198,"AAAAAD87ffI=")</f>
        <v>#VALUE!</v>
      </c>
      <c r="IJ7" t="e">
        <f>AND('Ark1'!F198,"AAAAAD87ffM=")</f>
        <v>#VALUE!</v>
      </c>
      <c r="IK7" t="e">
        <f>AND('Ark1'!G198,"AAAAAD87ffQ=")</f>
        <v>#VALUE!</v>
      </c>
      <c r="IL7" t="e">
        <f>AND('Ark1'!H198,"AAAAAD87ffU=")</f>
        <v>#VALUE!</v>
      </c>
      <c r="IM7">
        <f>IF('Ark1'!199:199,"AAAAAD87ffY=",0)</f>
        <v>0</v>
      </c>
      <c r="IN7" t="e">
        <f>AND('Ark1'!A199,"AAAAAD87ffc=")</f>
        <v>#VALUE!</v>
      </c>
      <c r="IO7" t="e">
        <f>AND('Ark1'!B199,"AAAAAD87ffg=")</f>
        <v>#VALUE!</v>
      </c>
      <c r="IP7" t="e">
        <f>AND('Ark1'!C199,"AAAAAD87ffk=")</f>
        <v>#VALUE!</v>
      </c>
      <c r="IQ7" t="e">
        <f>AND('Ark1'!D199,"AAAAAD87ffo=")</f>
        <v>#VALUE!</v>
      </c>
      <c r="IR7" t="e">
        <f>AND('Ark1'!E199,"AAAAAD87ffs=")</f>
        <v>#VALUE!</v>
      </c>
      <c r="IS7" t="e">
        <f>AND('Ark1'!F199,"AAAAAD87ffw=")</f>
        <v>#VALUE!</v>
      </c>
      <c r="IT7" t="e">
        <f>AND('Ark1'!G199,"AAAAAD87ff0=")</f>
        <v>#VALUE!</v>
      </c>
      <c r="IU7" t="e">
        <f>AND('Ark1'!H199,"AAAAAD87ff4=")</f>
        <v>#VALUE!</v>
      </c>
      <c r="IV7">
        <f>IF('Ark1'!200:200,"AAAAAD87ff8=",0)</f>
        <v>0</v>
      </c>
    </row>
    <row r="8" spans="1:256" x14ac:dyDescent="0.25">
      <c r="A8" t="e">
        <f>AND('Ark1'!A200,"AAAAADB+/wA=")</f>
        <v>#VALUE!</v>
      </c>
      <c r="B8" t="e">
        <f>AND('Ark1'!B200,"AAAAADB+/wE=")</f>
        <v>#VALUE!</v>
      </c>
      <c r="C8" t="e">
        <f>AND('Ark1'!C200,"AAAAADB+/wI=")</f>
        <v>#VALUE!</v>
      </c>
      <c r="D8" t="e">
        <f>AND('Ark1'!D200,"AAAAADB+/wM=")</f>
        <v>#VALUE!</v>
      </c>
      <c r="E8" t="e">
        <f>AND('Ark1'!E200,"AAAAADB+/wQ=")</f>
        <v>#VALUE!</v>
      </c>
      <c r="F8" t="e">
        <f>AND('Ark1'!F200,"AAAAADB+/wU=")</f>
        <v>#VALUE!</v>
      </c>
      <c r="G8" t="e">
        <f>AND('Ark1'!G200,"AAAAADB+/wY=")</f>
        <v>#VALUE!</v>
      </c>
      <c r="H8" t="e">
        <f>AND('Ark1'!H200,"AAAAADB+/wc=")</f>
        <v>#VALUE!</v>
      </c>
      <c r="I8">
        <f>IF('Ark1'!201:201,"AAAAADB+/wg=",0)</f>
        <v>0</v>
      </c>
      <c r="J8" t="e">
        <f>AND('Ark1'!A201,"AAAAADB+/wk=")</f>
        <v>#VALUE!</v>
      </c>
      <c r="K8" t="e">
        <f>AND('Ark1'!B201,"AAAAADB+/wo=")</f>
        <v>#VALUE!</v>
      </c>
      <c r="L8" t="e">
        <f>AND('Ark1'!C201,"AAAAADB+/ws=")</f>
        <v>#VALUE!</v>
      </c>
      <c r="M8" t="e">
        <f>AND('Ark1'!D201,"AAAAADB+/ww=")</f>
        <v>#VALUE!</v>
      </c>
      <c r="N8" t="e">
        <f>AND('Ark1'!E201,"AAAAADB+/w0=")</f>
        <v>#VALUE!</v>
      </c>
      <c r="O8" t="e">
        <f>AND('Ark1'!F201,"AAAAADB+/w4=")</f>
        <v>#VALUE!</v>
      </c>
      <c r="P8" t="e">
        <f>AND('Ark1'!G201,"AAAAADB+/w8=")</f>
        <v>#VALUE!</v>
      </c>
      <c r="Q8" t="e">
        <f>AND('Ark1'!H201,"AAAAADB+/xA=")</f>
        <v>#VALUE!</v>
      </c>
      <c r="R8">
        <f>IF('Ark1'!202:202,"AAAAADB+/xE=",0)</f>
        <v>0</v>
      </c>
      <c r="S8" t="e">
        <f>AND('Ark1'!A202,"AAAAADB+/xI=")</f>
        <v>#VALUE!</v>
      </c>
      <c r="T8" t="e">
        <f>AND('Ark1'!B202,"AAAAADB+/xM=")</f>
        <v>#VALUE!</v>
      </c>
      <c r="U8" t="e">
        <f>AND('Ark1'!C202,"AAAAADB+/xQ=")</f>
        <v>#VALUE!</v>
      </c>
      <c r="V8" t="e">
        <f>AND('Ark1'!D202,"AAAAADB+/xU=")</f>
        <v>#VALUE!</v>
      </c>
      <c r="W8" t="e">
        <f>AND('Ark1'!E202,"AAAAADB+/xY=")</f>
        <v>#VALUE!</v>
      </c>
      <c r="X8" t="e">
        <f>AND('Ark1'!F202,"AAAAADB+/xc=")</f>
        <v>#VALUE!</v>
      </c>
      <c r="Y8" t="e">
        <f>AND('Ark1'!G202,"AAAAADB+/xg=")</f>
        <v>#VALUE!</v>
      </c>
      <c r="Z8" t="e">
        <f>AND('Ark1'!H202,"AAAAADB+/xk=")</f>
        <v>#VALUE!</v>
      </c>
      <c r="AA8">
        <f>IF('Ark1'!203:203,"AAAAADB+/xo=",0)</f>
        <v>0</v>
      </c>
      <c r="AB8" t="e">
        <f>AND('Ark1'!A203,"AAAAADB+/xs=")</f>
        <v>#VALUE!</v>
      </c>
      <c r="AC8" t="e">
        <f>AND('Ark1'!B203,"AAAAADB+/xw=")</f>
        <v>#VALUE!</v>
      </c>
      <c r="AD8" t="e">
        <f>AND('Ark1'!C203,"AAAAADB+/x0=")</f>
        <v>#VALUE!</v>
      </c>
      <c r="AE8" t="e">
        <f>AND('Ark1'!D203,"AAAAADB+/x4=")</f>
        <v>#VALUE!</v>
      </c>
      <c r="AF8" t="e">
        <f>AND('Ark1'!E203,"AAAAADB+/x8=")</f>
        <v>#VALUE!</v>
      </c>
      <c r="AG8" t="e">
        <f>AND('Ark1'!F203,"AAAAADB+/yA=")</f>
        <v>#VALUE!</v>
      </c>
      <c r="AH8" t="e">
        <f>AND('Ark1'!G203,"AAAAADB+/yE=")</f>
        <v>#VALUE!</v>
      </c>
      <c r="AI8" t="e">
        <f>AND('Ark1'!H203,"AAAAADB+/yI=")</f>
        <v>#VALUE!</v>
      </c>
      <c r="AJ8">
        <f>IF('Ark1'!204:204,"AAAAADB+/yM=",0)</f>
        <v>0</v>
      </c>
      <c r="AK8" t="e">
        <f>AND('Ark1'!A204,"AAAAADB+/yQ=")</f>
        <v>#VALUE!</v>
      </c>
      <c r="AL8" t="e">
        <f>AND('Ark1'!B204,"AAAAADB+/yU=")</f>
        <v>#VALUE!</v>
      </c>
      <c r="AM8" t="e">
        <f>AND('Ark1'!C204,"AAAAADB+/yY=")</f>
        <v>#VALUE!</v>
      </c>
      <c r="AN8" t="e">
        <f>AND('Ark1'!D204,"AAAAADB+/yc=")</f>
        <v>#VALUE!</v>
      </c>
      <c r="AO8" t="e">
        <f>AND('Ark1'!E204,"AAAAADB+/yg=")</f>
        <v>#VALUE!</v>
      </c>
      <c r="AP8" t="e">
        <f>AND('Ark1'!F204,"AAAAADB+/yk=")</f>
        <v>#VALUE!</v>
      </c>
      <c r="AQ8" t="e">
        <f>AND('Ark1'!G204,"AAAAADB+/yo=")</f>
        <v>#VALUE!</v>
      </c>
      <c r="AR8" t="e">
        <f>AND('Ark1'!H204,"AAAAADB+/ys=")</f>
        <v>#VALUE!</v>
      </c>
      <c r="AS8">
        <f>IF('Ark1'!205:205,"AAAAADB+/yw=",0)</f>
        <v>0</v>
      </c>
      <c r="AT8" t="e">
        <f>AND('Ark1'!A205,"AAAAADB+/y0=")</f>
        <v>#VALUE!</v>
      </c>
      <c r="AU8" t="e">
        <f>AND('Ark1'!B205,"AAAAADB+/y4=")</f>
        <v>#VALUE!</v>
      </c>
      <c r="AV8" t="e">
        <f>AND('Ark1'!C205,"AAAAADB+/y8=")</f>
        <v>#VALUE!</v>
      </c>
      <c r="AW8" t="e">
        <f>AND('Ark1'!D205,"AAAAADB+/zA=")</f>
        <v>#VALUE!</v>
      </c>
      <c r="AX8" t="e">
        <f>AND('Ark1'!E205,"AAAAADB+/zE=")</f>
        <v>#VALUE!</v>
      </c>
      <c r="AY8" t="e">
        <f>AND('Ark1'!F205,"AAAAADB+/zI=")</f>
        <v>#VALUE!</v>
      </c>
      <c r="AZ8" t="e">
        <f>AND('Ark1'!G205,"AAAAADB+/zM=")</f>
        <v>#VALUE!</v>
      </c>
      <c r="BA8" t="e">
        <f>AND('Ark1'!H205,"AAAAADB+/zQ=")</f>
        <v>#VALUE!</v>
      </c>
      <c r="BB8">
        <f>IF('Ark1'!206:206,"AAAAADB+/zU=",0)</f>
        <v>0</v>
      </c>
      <c r="BC8" t="e">
        <f>AND('Ark1'!A206,"AAAAADB+/zY=")</f>
        <v>#VALUE!</v>
      </c>
      <c r="BD8" t="e">
        <f>AND('Ark1'!B206,"AAAAADB+/zc=")</f>
        <v>#VALUE!</v>
      </c>
      <c r="BE8" t="e">
        <f>AND('Ark1'!C206,"AAAAADB+/zg=")</f>
        <v>#VALUE!</v>
      </c>
      <c r="BF8" t="e">
        <f>AND('Ark1'!D206,"AAAAADB+/zk=")</f>
        <v>#VALUE!</v>
      </c>
      <c r="BG8" t="e">
        <f>AND('Ark1'!E206,"AAAAADB+/zo=")</f>
        <v>#VALUE!</v>
      </c>
      <c r="BH8" t="e">
        <f>AND('Ark1'!F206,"AAAAADB+/zs=")</f>
        <v>#VALUE!</v>
      </c>
      <c r="BI8" t="e">
        <f>AND('Ark1'!G206,"AAAAADB+/zw=")</f>
        <v>#VALUE!</v>
      </c>
      <c r="BJ8" t="e">
        <f>AND('Ark1'!H206,"AAAAADB+/z0=")</f>
        <v>#VALUE!</v>
      </c>
      <c r="BK8">
        <f>IF('Ark1'!207:207,"AAAAADB+/z4=",0)</f>
        <v>0</v>
      </c>
      <c r="BL8" t="e">
        <f>AND('Ark1'!A207,"AAAAADB+/z8=")</f>
        <v>#VALUE!</v>
      </c>
      <c r="BM8" t="e">
        <f>AND('Ark1'!B207,"AAAAADB+/0A=")</f>
        <v>#VALUE!</v>
      </c>
      <c r="BN8" t="e">
        <f>AND('Ark1'!C207,"AAAAADB+/0E=")</f>
        <v>#VALUE!</v>
      </c>
      <c r="BO8" t="e">
        <f>AND('Ark1'!D207,"AAAAADB+/0I=")</f>
        <v>#VALUE!</v>
      </c>
      <c r="BP8" t="e">
        <f>AND('Ark1'!E207,"AAAAADB+/0M=")</f>
        <v>#VALUE!</v>
      </c>
      <c r="BQ8" t="e">
        <f>AND('Ark1'!F207,"AAAAADB+/0Q=")</f>
        <v>#VALUE!</v>
      </c>
      <c r="BR8" t="e">
        <f>AND('Ark1'!G207,"AAAAADB+/0U=")</f>
        <v>#VALUE!</v>
      </c>
      <c r="BS8" t="e">
        <f>AND('Ark1'!H207,"AAAAADB+/0Y=")</f>
        <v>#VALUE!</v>
      </c>
      <c r="BT8">
        <f>IF('Ark1'!208:208,"AAAAADB+/0c=",0)</f>
        <v>0</v>
      </c>
      <c r="BU8" t="e">
        <f>AND('Ark1'!A208,"AAAAADB+/0g=")</f>
        <v>#VALUE!</v>
      </c>
      <c r="BV8" t="e">
        <f>AND('Ark1'!B208,"AAAAADB+/0k=")</f>
        <v>#VALUE!</v>
      </c>
      <c r="BW8" t="e">
        <f>AND('Ark1'!C208,"AAAAADB+/0o=")</f>
        <v>#VALUE!</v>
      </c>
      <c r="BX8" t="e">
        <f>AND('Ark1'!D208,"AAAAADB+/0s=")</f>
        <v>#VALUE!</v>
      </c>
      <c r="BY8" t="e">
        <f>AND('Ark1'!E208,"AAAAADB+/0w=")</f>
        <v>#VALUE!</v>
      </c>
      <c r="BZ8" t="e">
        <f>AND('Ark1'!F208,"AAAAADB+/00=")</f>
        <v>#VALUE!</v>
      </c>
      <c r="CA8" t="e">
        <f>AND('Ark1'!G208,"AAAAADB+/04=")</f>
        <v>#VALUE!</v>
      </c>
      <c r="CB8" t="e">
        <f>AND('Ark1'!H208,"AAAAADB+/08=")</f>
        <v>#VALUE!</v>
      </c>
      <c r="CC8">
        <f>IF('Ark1'!209:209,"AAAAADB+/1A=",0)</f>
        <v>0</v>
      </c>
      <c r="CD8" t="e">
        <f>AND('Ark1'!A209,"AAAAADB+/1E=")</f>
        <v>#VALUE!</v>
      </c>
      <c r="CE8" t="e">
        <f>AND('Ark1'!B209,"AAAAADB+/1I=")</f>
        <v>#VALUE!</v>
      </c>
      <c r="CF8" t="e">
        <f>AND('Ark1'!C209,"AAAAADB+/1M=")</f>
        <v>#VALUE!</v>
      </c>
      <c r="CG8" t="e">
        <f>AND('Ark1'!D209,"AAAAADB+/1Q=")</f>
        <v>#VALUE!</v>
      </c>
      <c r="CH8" t="e">
        <f>AND('Ark1'!E209,"AAAAADB+/1U=")</f>
        <v>#VALUE!</v>
      </c>
      <c r="CI8" t="e">
        <f>AND('Ark1'!F209,"AAAAADB+/1Y=")</f>
        <v>#VALUE!</v>
      </c>
      <c r="CJ8" t="e">
        <f>AND('Ark1'!G209,"AAAAADB+/1c=")</f>
        <v>#VALUE!</v>
      </c>
      <c r="CK8" t="e">
        <f>AND('Ark1'!H209,"AAAAADB+/1g=")</f>
        <v>#VALUE!</v>
      </c>
      <c r="CL8">
        <f>IF('Ark1'!210:210,"AAAAADB+/1k=",0)</f>
        <v>0</v>
      </c>
      <c r="CM8" t="e">
        <f>AND('Ark1'!A210,"AAAAADB+/1o=")</f>
        <v>#VALUE!</v>
      </c>
      <c r="CN8" t="e">
        <f>AND('Ark1'!B210,"AAAAADB+/1s=")</f>
        <v>#VALUE!</v>
      </c>
      <c r="CO8" t="e">
        <f>AND('Ark1'!C210,"AAAAADB+/1w=")</f>
        <v>#VALUE!</v>
      </c>
      <c r="CP8" t="e">
        <f>AND('Ark1'!D210,"AAAAADB+/10=")</f>
        <v>#VALUE!</v>
      </c>
      <c r="CQ8" t="e">
        <f>AND('Ark1'!E210,"AAAAADB+/14=")</f>
        <v>#VALUE!</v>
      </c>
      <c r="CR8" t="e">
        <f>AND('Ark1'!F210,"AAAAADB+/18=")</f>
        <v>#VALUE!</v>
      </c>
      <c r="CS8" t="e">
        <f>AND('Ark1'!G210,"AAAAADB+/2A=")</f>
        <v>#VALUE!</v>
      </c>
      <c r="CT8" t="e">
        <f>AND('Ark1'!H210,"AAAAADB+/2E=")</f>
        <v>#VALUE!</v>
      </c>
      <c r="CU8">
        <f>IF('Ark1'!211:211,"AAAAADB+/2I=",0)</f>
        <v>0</v>
      </c>
      <c r="CV8" t="e">
        <f>AND('Ark1'!A211,"AAAAADB+/2M=")</f>
        <v>#VALUE!</v>
      </c>
      <c r="CW8" t="e">
        <f>AND('Ark1'!B211,"AAAAADB+/2Q=")</f>
        <v>#VALUE!</v>
      </c>
      <c r="CX8" t="e">
        <f>AND('Ark1'!C211,"AAAAADB+/2U=")</f>
        <v>#VALUE!</v>
      </c>
      <c r="CY8" t="e">
        <f>AND('Ark1'!D211,"AAAAADB+/2Y=")</f>
        <v>#VALUE!</v>
      </c>
      <c r="CZ8" t="e">
        <f>AND('Ark1'!E211,"AAAAADB+/2c=")</f>
        <v>#VALUE!</v>
      </c>
      <c r="DA8" t="e">
        <f>AND('Ark1'!F211,"AAAAADB+/2g=")</f>
        <v>#VALUE!</v>
      </c>
      <c r="DB8" t="e">
        <f>AND('Ark1'!G211,"AAAAADB+/2k=")</f>
        <v>#VALUE!</v>
      </c>
      <c r="DC8" t="e">
        <f>AND('Ark1'!H211,"AAAAADB+/2o=")</f>
        <v>#VALUE!</v>
      </c>
      <c r="DD8">
        <f>IF('Ark1'!212:212,"AAAAADB+/2s=",0)</f>
        <v>0</v>
      </c>
      <c r="DE8" t="e">
        <f>AND('Ark1'!A212,"AAAAADB+/2w=")</f>
        <v>#VALUE!</v>
      </c>
      <c r="DF8" t="e">
        <f>AND('Ark1'!B212,"AAAAADB+/20=")</f>
        <v>#VALUE!</v>
      </c>
      <c r="DG8" t="e">
        <f>AND('Ark1'!C212,"AAAAADB+/24=")</f>
        <v>#VALUE!</v>
      </c>
      <c r="DH8" t="e">
        <f>AND('Ark1'!D212,"AAAAADB+/28=")</f>
        <v>#VALUE!</v>
      </c>
      <c r="DI8" t="e">
        <f>AND('Ark1'!E212,"AAAAADB+/3A=")</f>
        <v>#VALUE!</v>
      </c>
      <c r="DJ8" t="e">
        <f>AND('Ark1'!F212,"AAAAADB+/3E=")</f>
        <v>#VALUE!</v>
      </c>
      <c r="DK8" t="e">
        <f>AND('Ark1'!G212,"AAAAADB+/3I=")</f>
        <v>#VALUE!</v>
      </c>
      <c r="DL8" t="e">
        <f>AND('Ark1'!H212,"AAAAADB+/3M=")</f>
        <v>#VALUE!</v>
      </c>
      <c r="DM8">
        <f>IF('Ark1'!213:213,"AAAAADB+/3Q=",0)</f>
        <v>0</v>
      </c>
      <c r="DN8" t="e">
        <f>AND('Ark1'!A213,"AAAAADB+/3U=")</f>
        <v>#VALUE!</v>
      </c>
      <c r="DO8" t="e">
        <f>AND('Ark1'!B213,"AAAAADB+/3Y=")</f>
        <v>#VALUE!</v>
      </c>
      <c r="DP8" t="e">
        <f>AND('Ark1'!C213,"AAAAADB+/3c=")</f>
        <v>#VALUE!</v>
      </c>
      <c r="DQ8" t="e">
        <f>AND('Ark1'!D213,"AAAAADB+/3g=")</f>
        <v>#VALUE!</v>
      </c>
      <c r="DR8" t="e">
        <f>AND('Ark1'!E213,"AAAAADB+/3k=")</f>
        <v>#VALUE!</v>
      </c>
      <c r="DS8" t="e">
        <f>AND('Ark1'!F213,"AAAAADB+/3o=")</f>
        <v>#VALUE!</v>
      </c>
      <c r="DT8" t="e">
        <f>AND('Ark1'!G213,"AAAAADB+/3s=")</f>
        <v>#VALUE!</v>
      </c>
      <c r="DU8" t="e">
        <f>AND('Ark1'!H213,"AAAAADB+/3w=")</f>
        <v>#VALUE!</v>
      </c>
      <c r="DV8">
        <f>IF('Ark1'!214:214,"AAAAADB+/30=",0)</f>
        <v>0</v>
      </c>
      <c r="DW8" t="e">
        <f>AND('Ark1'!A214,"AAAAADB+/34=")</f>
        <v>#VALUE!</v>
      </c>
      <c r="DX8" t="e">
        <f>AND('Ark1'!B214,"AAAAADB+/38=")</f>
        <v>#VALUE!</v>
      </c>
      <c r="DY8" t="e">
        <f>AND('Ark1'!C214,"AAAAADB+/4A=")</f>
        <v>#VALUE!</v>
      </c>
      <c r="DZ8" t="e">
        <f>AND('Ark1'!D214,"AAAAADB+/4E=")</f>
        <v>#VALUE!</v>
      </c>
      <c r="EA8" t="e">
        <f>AND('Ark1'!E214,"AAAAADB+/4I=")</f>
        <v>#VALUE!</v>
      </c>
      <c r="EB8" t="e">
        <f>AND('Ark1'!F214,"AAAAADB+/4M=")</f>
        <v>#VALUE!</v>
      </c>
      <c r="EC8" t="e">
        <f>AND('Ark1'!G214,"AAAAADB+/4Q=")</f>
        <v>#VALUE!</v>
      </c>
      <c r="ED8" t="e">
        <f>AND('Ark1'!H214,"AAAAADB+/4U=")</f>
        <v>#VALUE!</v>
      </c>
      <c r="EE8">
        <f>IF('Ark1'!215:215,"AAAAADB+/4Y=",0)</f>
        <v>0</v>
      </c>
      <c r="EF8" t="e">
        <f>AND('Ark1'!A215,"AAAAADB+/4c=")</f>
        <v>#VALUE!</v>
      </c>
      <c r="EG8" t="e">
        <f>AND('Ark1'!B215,"AAAAADB+/4g=")</f>
        <v>#VALUE!</v>
      </c>
      <c r="EH8" t="e">
        <f>AND('Ark1'!C215,"AAAAADB+/4k=")</f>
        <v>#VALUE!</v>
      </c>
      <c r="EI8" t="e">
        <f>AND('Ark1'!D215,"AAAAADB+/4o=")</f>
        <v>#VALUE!</v>
      </c>
      <c r="EJ8" t="e">
        <f>AND('Ark1'!E215,"AAAAADB+/4s=")</f>
        <v>#VALUE!</v>
      </c>
      <c r="EK8" t="e">
        <f>AND('Ark1'!F215,"AAAAADB+/4w=")</f>
        <v>#VALUE!</v>
      </c>
      <c r="EL8" t="e">
        <f>AND('Ark1'!G215,"AAAAADB+/40=")</f>
        <v>#VALUE!</v>
      </c>
      <c r="EM8" t="e">
        <f>AND('Ark1'!H215,"AAAAADB+/44=")</f>
        <v>#VALUE!</v>
      </c>
      <c r="EN8">
        <f>IF('Ark1'!216:216,"AAAAADB+/48=",0)</f>
        <v>0</v>
      </c>
      <c r="EO8" t="e">
        <f>AND('Ark1'!A216,"AAAAADB+/5A=")</f>
        <v>#VALUE!</v>
      </c>
      <c r="EP8" t="e">
        <f>AND('Ark1'!B216,"AAAAADB+/5E=")</f>
        <v>#VALUE!</v>
      </c>
      <c r="EQ8" t="e">
        <f>AND('Ark1'!C216,"AAAAADB+/5I=")</f>
        <v>#VALUE!</v>
      </c>
      <c r="ER8" t="e">
        <f>AND('Ark1'!D216,"AAAAADB+/5M=")</f>
        <v>#VALUE!</v>
      </c>
      <c r="ES8" t="e">
        <f>AND('Ark1'!E216,"AAAAADB+/5Q=")</f>
        <v>#VALUE!</v>
      </c>
      <c r="ET8" t="e">
        <f>AND('Ark1'!F216,"AAAAADB+/5U=")</f>
        <v>#VALUE!</v>
      </c>
      <c r="EU8" t="e">
        <f>AND('Ark1'!G216,"AAAAADB+/5Y=")</f>
        <v>#VALUE!</v>
      </c>
      <c r="EV8" t="e">
        <f>AND('Ark1'!H216,"AAAAADB+/5c=")</f>
        <v>#VALUE!</v>
      </c>
      <c r="EW8">
        <f>IF('Ark1'!218:218,"AAAAADB+/5g=",0)</f>
        <v>0</v>
      </c>
      <c r="EX8" t="e">
        <f>AND('Ark1'!A218,"AAAAADB+/5k=")</f>
        <v>#VALUE!</v>
      </c>
      <c r="EY8" t="e">
        <f>AND('Ark1'!B218,"AAAAADB+/5o=")</f>
        <v>#VALUE!</v>
      </c>
      <c r="EZ8" t="e">
        <f>AND('Ark1'!C218,"AAAAADB+/5s=")</f>
        <v>#VALUE!</v>
      </c>
      <c r="FA8" t="e">
        <f>AND('Ark1'!D218,"AAAAADB+/5w=")</f>
        <v>#VALUE!</v>
      </c>
      <c r="FB8" t="e">
        <f>AND('Ark1'!E218,"AAAAADB+/50=")</f>
        <v>#VALUE!</v>
      </c>
      <c r="FC8" t="e">
        <f>AND('Ark1'!F218,"AAAAADB+/54=")</f>
        <v>#VALUE!</v>
      </c>
      <c r="FD8" t="e">
        <f>AND('Ark1'!G218,"AAAAADB+/58=")</f>
        <v>#VALUE!</v>
      </c>
      <c r="FE8" t="e">
        <f>AND('Ark1'!H218,"AAAAADB+/6A=")</f>
        <v>#VALUE!</v>
      </c>
      <c r="FF8">
        <f>IF('Ark1'!219:219,"AAAAADB+/6E=",0)</f>
        <v>0</v>
      </c>
      <c r="FG8" t="e">
        <f>AND('Ark1'!A219,"AAAAADB+/6I=")</f>
        <v>#VALUE!</v>
      </c>
      <c r="FH8" t="e">
        <f>AND('Ark1'!B219,"AAAAADB+/6M=")</f>
        <v>#VALUE!</v>
      </c>
      <c r="FI8" t="e">
        <f>AND('Ark1'!C219,"AAAAADB+/6Q=")</f>
        <v>#VALUE!</v>
      </c>
      <c r="FJ8" t="e">
        <f>AND('Ark1'!D219,"AAAAADB+/6U=")</f>
        <v>#VALUE!</v>
      </c>
      <c r="FK8" t="e">
        <f>AND('Ark1'!E219,"AAAAADB+/6Y=")</f>
        <v>#VALUE!</v>
      </c>
      <c r="FL8" t="e">
        <f>AND('Ark1'!F219,"AAAAADB+/6c=")</f>
        <v>#VALUE!</v>
      </c>
      <c r="FM8" t="e">
        <f>AND('Ark1'!G219,"AAAAADB+/6g=")</f>
        <v>#VALUE!</v>
      </c>
      <c r="FN8" t="e">
        <f>AND('Ark1'!H219,"AAAAADB+/6k=")</f>
        <v>#VALUE!</v>
      </c>
      <c r="FO8">
        <f>IF('Ark1'!220:220,"AAAAADB+/6o=",0)</f>
        <v>0</v>
      </c>
      <c r="FP8" t="e">
        <f>AND('Ark1'!A220,"AAAAADB+/6s=")</f>
        <v>#VALUE!</v>
      </c>
      <c r="FQ8" t="e">
        <f>AND('Ark1'!B220,"AAAAADB+/6w=")</f>
        <v>#VALUE!</v>
      </c>
      <c r="FR8" t="e">
        <f>AND('Ark1'!C220,"AAAAADB+/60=")</f>
        <v>#VALUE!</v>
      </c>
      <c r="FS8" t="e">
        <f>AND('Ark1'!D220,"AAAAADB+/64=")</f>
        <v>#VALUE!</v>
      </c>
      <c r="FT8" t="e">
        <f>AND('Ark1'!E220,"AAAAADB+/68=")</f>
        <v>#VALUE!</v>
      </c>
      <c r="FU8" t="e">
        <f>AND('Ark1'!F220,"AAAAADB+/7A=")</f>
        <v>#VALUE!</v>
      </c>
      <c r="FV8" t="e">
        <f>AND('Ark1'!G220,"AAAAADB+/7E=")</f>
        <v>#VALUE!</v>
      </c>
      <c r="FW8" t="e">
        <f>AND('Ark1'!H220,"AAAAADB+/7I=")</f>
        <v>#VALUE!</v>
      </c>
      <c r="FX8">
        <f>IF('Ark1'!221:221,"AAAAADB+/7M=",0)</f>
        <v>0</v>
      </c>
      <c r="FY8" t="e">
        <f>AND('Ark1'!A221,"AAAAADB+/7Q=")</f>
        <v>#VALUE!</v>
      </c>
      <c r="FZ8" t="e">
        <f>AND('Ark1'!B221,"AAAAADB+/7U=")</f>
        <v>#VALUE!</v>
      </c>
      <c r="GA8" t="e">
        <f>AND('Ark1'!C221,"AAAAADB+/7Y=")</f>
        <v>#VALUE!</v>
      </c>
      <c r="GB8" t="e">
        <f>AND('Ark1'!D221,"AAAAADB+/7c=")</f>
        <v>#VALUE!</v>
      </c>
      <c r="GC8" t="e">
        <f>AND('Ark1'!E221,"AAAAADB+/7g=")</f>
        <v>#VALUE!</v>
      </c>
      <c r="GD8" t="e">
        <f>AND('Ark1'!F221,"AAAAADB+/7k=")</f>
        <v>#VALUE!</v>
      </c>
      <c r="GE8" t="e">
        <f>AND('Ark1'!G221,"AAAAADB+/7o=")</f>
        <v>#VALUE!</v>
      </c>
      <c r="GF8" t="e">
        <f>AND('Ark1'!H221,"AAAAADB+/7s=")</f>
        <v>#VALUE!</v>
      </c>
      <c r="GG8">
        <f>IF('Ark1'!222:222,"AAAAADB+/7w=",0)</f>
        <v>0</v>
      </c>
      <c r="GH8" t="e">
        <f>AND('Ark1'!A222,"AAAAADB+/70=")</f>
        <v>#VALUE!</v>
      </c>
      <c r="GI8" t="e">
        <f>AND('Ark1'!B222,"AAAAADB+/74=")</f>
        <v>#VALUE!</v>
      </c>
      <c r="GJ8" t="e">
        <f>AND('Ark1'!C222,"AAAAADB+/78=")</f>
        <v>#VALUE!</v>
      </c>
      <c r="GK8" t="e">
        <f>AND('Ark1'!D222,"AAAAADB+/8A=")</f>
        <v>#VALUE!</v>
      </c>
      <c r="GL8" t="e">
        <f>AND('Ark1'!E222,"AAAAADB+/8E=")</f>
        <v>#VALUE!</v>
      </c>
      <c r="GM8" t="e">
        <f>AND('Ark1'!F222,"AAAAADB+/8I=")</f>
        <v>#VALUE!</v>
      </c>
      <c r="GN8" t="e">
        <f>AND('Ark1'!G222,"AAAAADB+/8M=")</f>
        <v>#VALUE!</v>
      </c>
      <c r="GO8" t="e">
        <f>AND('Ark1'!H222,"AAAAADB+/8Q=")</f>
        <v>#VALUE!</v>
      </c>
      <c r="GP8">
        <f>IF('Ark1'!223:223,"AAAAADB+/8U=",0)</f>
        <v>0</v>
      </c>
      <c r="GQ8" t="e">
        <f>AND('Ark1'!A223,"AAAAADB+/8Y=")</f>
        <v>#VALUE!</v>
      </c>
      <c r="GR8" t="e">
        <f>AND('Ark1'!B223,"AAAAADB+/8c=")</f>
        <v>#VALUE!</v>
      </c>
      <c r="GS8" t="e">
        <f>AND('Ark1'!C223,"AAAAADB+/8g=")</f>
        <v>#VALUE!</v>
      </c>
      <c r="GT8" t="e">
        <f>AND('Ark1'!D223,"AAAAADB+/8k=")</f>
        <v>#VALUE!</v>
      </c>
      <c r="GU8" t="e">
        <f>AND('Ark1'!E223,"AAAAADB+/8o=")</f>
        <v>#VALUE!</v>
      </c>
      <c r="GV8" t="e">
        <f>AND('Ark1'!F223,"AAAAADB+/8s=")</f>
        <v>#VALUE!</v>
      </c>
      <c r="GW8" t="e">
        <f>AND('Ark1'!G223,"AAAAADB+/8w=")</f>
        <v>#VALUE!</v>
      </c>
      <c r="GX8" t="e">
        <f>AND('Ark1'!H223,"AAAAADB+/80=")</f>
        <v>#VALUE!</v>
      </c>
      <c r="GY8">
        <f>IF('Ark1'!224:224,"AAAAADB+/84=",0)</f>
        <v>0</v>
      </c>
      <c r="GZ8" t="e">
        <f>AND('Ark1'!A224,"AAAAADB+/88=")</f>
        <v>#VALUE!</v>
      </c>
      <c r="HA8" t="e">
        <f>AND('Ark1'!B224,"AAAAADB+/9A=")</f>
        <v>#VALUE!</v>
      </c>
      <c r="HB8" t="e">
        <f>AND('Ark1'!C224,"AAAAADB+/9E=")</f>
        <v>#VALUE!</v>
      </c>
      <c r="HC8" t="e">
        <f>AND('Ark1'!D224,"AAAAADB+/9I=")</f>
        <v>#VALUE!</v>
      </c>
      <c r="HD8" t="e">
        <f>AND('Ark1'!E224,"AAAAADB+/9M=")</f>
        <v>#VALUE!</v>
      </c>
      <c r="HE8" t="e">
        <f>AND('Ark1'!F224,"AAAAADB+/9Q=")</f>
        <v>#VALUE!</v>
      </c>
      <c r="HF8" t="e">
        <f>AND('Ark1'!G224,"AAAAADB+/9U=")</f>
        <v>#VALUE!</v>
      </c>
      <c r="HG8" t="e">
        <f>AND('Ark1'!H224,"AAAAADB+/9Y=")</f>
        <v>#VALUE!</v>
      </c>
      <c r="HH8">
        <f>IF('Ark1'!225:225,"AAAAADB+/9c=",0)</f>
        <v>0</v>
      </c>
      <c r="HI8" t="e">
        <f>AND('Ark1'!A225,"AAAAADB+/9g=")</f>
        <v>#VALUE!</v>
      </c>
      <c r="HJ8" t="e">
        <f>AND('Ark1'!B225,"AAAAADB+/9k=")</f>
        <v>#VALUE!</v>
      </c>
      <c r="HK8" t="e">
        <f>AND('Ark1'!C225,"AAAAADB+/9o=")</f>
        <v>#VALUE!</v>
      </c>
      <c r="HL8" t="e">
        <f>AND('Ark1'!D225,"AAAAADB+/9s=")</f>
        <v>#VALUE!</v>
      </c>
      <c r="HM8" t="e">
        <f>AND('Ark1'!E225,"AAAAADB+/9w=")</f>
        <v>#VALUE!</v>
      </c>
      <c r="HN8" t="e">
        <f>AND('Ark1'!F225,"AAAAADB+/90=")</f>
        <v>#VALUE!</v>
      </c>
      <c r="HO8" t="e">
        <f>AND('Ark1'!G225,"AAAAADB+/94=")</f>
        <v>#VALUE!</v>
      </c>
      <c r="HP8" t="e">
        <f>AND('Ark1'!H225,"AAAAADB+/98=")</f>
        <v>#VALUE!</v>
      </c>
      <c r="HQ8">
        <f>IF('Ark1'!226:226,"AAAAADB+/+A=",0)</f>
        <v>0</v>
      </c>
      <c r="HR8" t="e">
        <f>AND('Ark1'!A226,"AAAAADB+/+E=")</f>
        <v>#VALUE!</v>
      </c>
      <c r="HS8" t="e">
        <f>AND('Ark1'!B226,"AAAAADB+/+I=")</f>
        <v>#VALUE!</v>
      </c>
      <c r="HT8" t="e">
        <f>AND('Ark1'!C226,"AAAAADB+/+M=")</f>
        <v>#VALUE!</v>
      </c>
      <c r="HU8" t="e">
        <f>AND('Ark1'!D226,"AAAAADB+/+Q=")</f>
        <v>#VALUE!</v>
      </c>
      <c r="HV8" t="e">
        <f>AND('Ark1'!E226,"AAAAADB+/+U=")</f>
        <v>#VALUE!</v>
      </c>
      <c r="HW8" t="e">
        <f>AND('Ark1'!F226,"AAAAADB+/+Y=")</f>
        <v>#VALUE!</v>
      </c>
      <c r="HX8" t="e">
        <f>AND('Ark1'!G226,"AAAAADB+/+c=")</f>
        <v>#VALUE!</v>
      </c>
      <c r="HY8" t="e">
        <f>AND('Ark1'!H226,"AAAAADB+/+g=")</f>
        <v>#VALUE!</v>
      </c>
      <c r="HZ8">
        <f>IF('Ark1'!227:227,"AAAAADB+/+k=",0)</f>
        <v>0</v>
      </c>
      <c r="IA8" t="e">
        <f>AND('Ark1'!A227,"AAAAADB+/+o=")</f>
        <v>#VALUE!</v>
      </c>
      <c r="IB8" t="e">
        <f>AND('Ark1'!B227,"AAAAADB+/+s=")</f>
        <v>#VALUE!</v>
      </c>
      <c r="IC8" t="e">
        <f>AND('Ark1'!C227,"AAAAADB+/+w=")</f>
        <v>#VALUE!</v>
      </c>
      <c r="ID8" t="e">
        <f>AND('Ark1'!D227,"AAAAADB+/+0=")</f>
        <v>#VALUE!</v>
      </c>
      <c r="IE8" t="e">
        <f>AND('Ark1'!E227,"AAAAADB+/+4=")</f>
        <v>#VALUE!</v>
      </c>
      <c r="IF8" t="e">
        <f>AND('Ark1'!F227,"AAAAADB+/+8=")</f>
        <v>#VALUE!</v>
      </c>
      <c r="IG8" t="e">
        <f>AND('Ark1'!G227,"AAAAADB+//A=")</f>
        <v>#VALUE!</v>
      </c>
      <c r="IH8" t="e">
        <f>AND('Ark1'!H227,"AAAAADB+//E=")</f>
        <v>#VALUE!</v>
      </c>
      <c r="II8">
        <f>IF('Ark1'!228:228,"AAAAADB+//I=",0)</f>
        <v>0</v>
      </c>
      <c r="IJ8" t="e">
        <f>AND('Ark1'!A228,"AAAAADB+//M=")</f>
        <v>#VALUE!</v>
      </c>
      <c r="IK8" t="e">
        <f>AND('Ark1'!B228,"AAAAADB+//Q=")</f>
        <v>#VALUE!</v>
      </c>
      <c r="IL8" t="e">
        <f>AND('Ark1'!C228,"AAAAADB+//U=")</f>
        <v>#VALUE!</v>
      </c>
      <c r="IM8" t="e">
        <f>AND('Ark1'!D228,"AAAAADB+//Y=")</f>
        <v>#VALUE!</v>
      </c>
      <c r="IN8" t="e">
        <f>AND('Ark1'!E228,"AAAAADB+//c=")</f>
        <v>#VALUE!</v>
      </c>
      <c r="IO8" t="e">
        <f>AND('Ark1'!F228,"AAAAADB+//g=")</f>
        <v>#VALUE!</v>
      </c>
      <c r="IP8" t="e">
        <f>AND('Ark1'!G228,"AAAAADB+//k=")</f>
        <v>#VALUE!</v>
      </c>
      <c r="IQ8" t="e">
        <f>AND('Ark1'!H228,"AAAAADB+//o=")</f>
        <v>#VALUE!</v>
      </c>
      <c r="IR8">
        <f>IF('Ark1'!229:229,"AAAAADB+//s=",0)</f>
        <v>0</v>
      </c>
      <c r="IS8" t="e">
        <f>AND('Ark1'!A229,"AAAAADB+//w=")</f>
        <v>#VALUE!</v>
      </c>
      <c r="IT8" t="e">
        <f>AND('Ark1'!B229,"AAAAADB+//0=")</f>
        <v>#VALUE!</v>
      </c>
      <c r="IU8" t="e">
        <f>AND('Ark1'!C229,"AAAAADB+//4=")</f>
        <v>#VALUE!</v>
      </c>
      <c r="IV8" t="e">
        <f>AND('Ark1'!D229,"AAAAADB+//8=")</f>
        <v>#VALUE!</v>
      </c>
    </row>
    <row r="9" spans="1:256" x14ac:dyDescent="0.25">
      <c r="A9" t="e">
        <f>AND('Ark1'!E229,"AAAAAFc+/gA=")</f>
        <v>#VALUE!</v>
      </c>
      <c r="B9" t="e">
        <f>AND('Ark1'!F229,"AAAAAFc+/gE=")</f>
        <v>#VALUE!</v>
      </c>
      <c r="C9" t="e">
        <f>AND('Ark1'!G229,"AAAAAFc+/gI=")</f>
        <v>#VALUE!</v>
      </c>
      <c r="D9" t="e">
        <f>AND('Ark1'!H229,"AAAAAFc+/gM=")</f>
        <v>#VALUE!</v>
      </c>
      <c r="E9">
        <f>IF('Ark1'!230:230,"AAAAAFc+/gQ=",0)</f>
        <v>0</v>
      </c>
      <c r="F9" t="e">
        <f>AND('Ark1'!A230,"AAAAAFc+/gU=")</f>
        <v>#VALUE!</v>
      </c>
      <c r="G9" t="e">
        <f>AND('Ark1'!B230,"AAAAAFc+/gY=")</f>
        <v>#VALUE!</v>
      </c>
      <c r="H9" t="e">
        <f>AND('Ark1'!C230,"AAAAAFc+/gc=")</f>
        <v>#VALUE!</v>
      </c>
      <c r="I9" t="e">
        <f>AND('Ark1'!D230,"AAAAAFc+/gg=")</f>
        <v>#VALUE!</v>
      </c>
      <c r="J9" t="e">
        <f>AND('Ark1'!E230,"AAAAAFc+/gk=")</f>
        <v>#VALUE!</v>
      </c>
      <c r="K9" t="e">
        <f>AND('Ark1'!F230,"AAAAAFc+/go=")</f>
        <v>#VALUE!</v>
      </c>
      <c r="L9" t="e">
        <f>AND('Ark1'!G230,"AAAAAFc+/gs=")</f>
        <v>#VALUE!</v>
      </c>
      <c r="M9" t="e">
        <f>AND('Ark1'!H230,"AAAAAFc+/gw=")</f>
        <v>#VALUE!</v>
      </c>
      <c r="N9">
        <f>IF('Ark1'!231:231,"AAAAAFc+/g0=",0)</f>
        <v>0</v>
      </c>
      <c r="O9" t="e">
        <f>AND('Ark1'!A231,"AAAAAFc+/g4=")</f>
        <v>#VALUE!</v>
      </c>
      <c r="P9" t="e">
        <f>AND('Ark1'!B231,"AAAAAFc+/g8=")</f>
        <v>#VALUE!</v>
      </c>
      <c r="Q9" t="e">
        <f>AND('Ark1'!C231,"AAAAAFc+/hA=")</f>
        <v>#VALUE!</v>
      </c>
      <c r="R9" t="e">
        <f>AND('Ark1'!D231,"AAAAAFc+/hE=")</f>
        <v>#VALUE!</v>
      </c>
      <c r="S9" t="e">
        <f>AND('Ark1'!E231,"AAAAAFc+/hI=")</f>
        <v>#VALUE!</v>
      </c>
      <c r="T9" t="e">
        <f>AND('Ark1'!F231,"AAAAAFc+/hM=")</f>
        <v>#VALUE!</v>
      </c>
      <c r="U9" t="e">
        <f>AND('Ark1'!G231,"AAAAAFc+/hQ=")</f>
        <v>#VALUE!</v>
      </c>
      <c r="V9" t="e">
        <f>AND('Ark1'!H231,"AAAAAFc+/hU=")</f>
        <v>#VALUE!</v>
      </c>
      <c r="W9">
        <f>IF('Ark1'!232:232,"AAAAAFc+/hY=",0)</f>
        <v>0</v>
      </c>
      <c r="X9" t="e">
        <f>AND('Ark1'!A232,"AAAAAFc+/hc=")</f>
        <v>#VALUE!</v>
      </c>
      <c r="Y9" t="e">
        <f>AND('Ark1'!B232,"AAAAAFc+/hg=")</f>
        <v>#VALUE!</v>
      </c>
      <c r="Z9" t="e">
        <f>AND('Ark1'!C232,"AAAAAFc+/hk=")</f>
        <v>#VALUE!</v>
      </c>
      <c r="AA9" t="e">
        <f>AND('Ark1'!D232,"AAAAAFc+/ho=")</f>
        <v>#VALUE!</v>
      </c>
      <c r="AB9" t="e">
        <f>AND('Ark1'!E232,"AAAAAFc+/hs=")</f>
        <v>#VALUE!</v>
      </c>
      <c r="AC9" t="e">
        <f>AND('Ark1'!F232,"AAAAAFc+/hw=")</f>
        <v>#VALUE!</v>
      </c>
      <c r="AD9" t="e">
        <f>AND('Ark1'!G232,"AAAAAFc+/h0=")</f>
        <v>#VALUE!</v>
      </c>
      <c r="AE9" t="e">
        <f>AND('Ark1'!H232,"AAAAAFc+/h4=")</f>
        <v>#VALUE!</v>
      </c>
      <c r="AF9">
        <f>IF('Ark1'!233:233,"AAAAAFc+/h8=",0)</f>
        <v>0</v>
      </c>
      <c r="AG9" t="e">
        <f>AND('Ark1'!A233,"AAAAAFc+/iA=")</f>
        <v>#VALUE!</v>
      </c>
      <c r="AH9" t="e">
        <f>AND('Ark1'!B233,"AAAAAFc+/iE=")</f>
        <v>#VALUE!</v>
      </c>
      <c r="AI9" t="e">
        <f>AND('Ark1'!C233,"AAAAAFc+/iI=")</f>
        <v>#VALUE!</v>
      </c>
      <c r="AJ9" t="e">
        <f>AND('Ark1'!D233,"AAAAAFc+/iM=")</f>
        <v>#VALUE!</v>
      </c>
      <c r="AK9" t="e">
        <f>AND('Ark1'!E233,"AAAAAFc+/iQ=")</f>
        <v>#VALUE!</v>
      </c>
      <c r="AL9" t="e">
        <f>AND('Ark1'!F233,"AAAAAFc+/iU=")</f>
        <v>#VALUE!</v>
      </c>
      <c r="AM9" t="e">
        <f>AND('Ark1'!G233,"AAAAAFc+/iY=")</f>
        <v>#VALUE!</v>
      </c>
      <c r="AN9" t="e">
        <f>AND('Ark1'!H233,"AAAAAFc+/ic=")</f>
        <v>#VALUE!</v>
      </c>
      <c r="AO9">
        <f>IF('Ark1'!234:234,"AAAAAFc+/ig=",0)</f>
        <v>0</v>
      </c>
      <c r="AP9" t="e">
        <f>AND('Ark1'!A234,"AAAAAFc+/ik=")</f>
        <v>#VALUE!</v>
      </c>
      <c r="AQ9" t="e">
        <f>AND('Ark1'!B234,"AAAAAFc+/io=")</f>
        <v>#VALUE!</v>
      </c>
      <c r="AR9" t="e">
        <f>AND('Ark1'!C234,"AAAAAFc+/is=")</f>
        <v>#VALUE!</v>
      </c>
      <c r="AS9" t="e">
        <f>AND('Ark1'!D234,"AAAAAFc+/iw=")</f>
        <v>#VALUE!</v>
      </c>
      <c r="AT9" t="e">
        <f>AND('Ark1'!E234,"AAAAAFc+/i0=")</f>
        <v>#VALUE!</v>
      </c>
      <c r="AU9" t="e">
        <f>AND('Ark1'!F234,"AAAAAFc+/i4=")</f>
        <v>#VALUE!</v>
      </c>
      <c r="AV9" t="e">
        <f>AND('Ark1'!G234,"AAAAAFc+/i8=")</f>
        <v>#VALUE!</v>
      </c>
      <c r="AW9" t="e">
        <f>AND('Ark1'!H234,"AAAAAFc+/jA=")</f>
        <v>#VALUE!</v>
      </c>
      <c r="AX9">
        <f>IF('Ark1'!235:235,"AAAAAFc+/jE=",0)</f>
        <v>0</v>
      </c>
      <c r="AY9" t="e">
        <f>AND('Ark1'!A235,"AAAAAFc+/jI=")</f>
        <v>#VALUE!</v>
      </c>
      <c r="AZ9" t="e">
        <f>AND('Ark1'!B235,"AAAAAFc+/jM=")</f>
        <v>#VALUE!</v>
      </c>
      <c r="BA9" t="e">
        <f>AND('Ark1'!C235,"AAAAAFc+/jQ=")</f>
        <v>#VALUE!</v>
      </c>
      <c r="BB9" t="e">
        <f>AND('Ark1'!D235,"AAAAAFc+/jU=")</f>
        <v>#VALUE!</v>
      </c>
      <c r="BC9" t="e">
        <f>AND('Ark1'!E235,"AAAAAFc+/jY=")</f>
        <v>#VALUE!</v>
      </c>
      <c r="BD9" t="e">
        <f>AND('Ark1'!F235,"AAAAAFc+/jc=")</f>
        <v>#VALUE!</v>
      </c>
      <c r="BE9" t="e">
        <f>AND('Ark1'!G235,"AAAAAFc+/jg=")</f>
        <v>#VALUE!</v>
      </c>
      <c r="BF9" t="e">
        <f>AND('Ark1'!H235,"AAAAAFc+/jk=")</f>
        <v>#VALUE!</v>
      </c>
      <c r="BG9">
        <f>IF('Ark1'!236:236,"AAAAAFc+/jo=",0)</f>
        <v>0</v>
      </c>
      <c r="BH9" t="e">
        <f>AND('Ark1'!A236,"AAAAAFc+/js=")</f>
        <v>#VALUE!</v>
      </c>
      <c r="BI9" t="e">
        <f>AND('Ark1'!B236,"AAAAAFc+/jw=")</f>
        <v>#VALUE!</v>
      </c>
      <c r="BJ9" t="e">
        <f>AND('Ark1'!C236,"AAAAAFc+/j0=")</f>
        <v>#VALUE!</v>
      </c>
      <c r="BK9" t="e">
        <f>AND('Ark1'!D236,"AAAAAFc+/j4=")</f>
        <v>#VALUE!</v>
      </c>
      <c r="BL9" t="e">
        <f>AND('Ark1'!E236,"AAAAAFc+/j8=")</f>
        <v>#VALUE!</v>
      </c>
      <c r="BM9" t="e">
        <f>AND('Ark1'!F236,"AAAAAFc+/kA=")</f>
        <v>#VALUE!</v>
      </c>
      <c r="BN9" t="e">
        <f>AND('Ark1'!G236,"AAAAAFc+/kE=")</f>
        <v>#VALUE!</v>
      </c>
      <c r="BO9" t="e">
        <f>AND('Ark1'!H236,"AAAAAFc+/kI=")</f>
        <v>#VALUE!</v>
      </c>
      <c r="BP9">
        <f>IF('Ark1'!237:237,"AAAAAFc+/kM=",0)</f>
        <v>0</v>
      </c>
      <c r="BQ9" t="e">
        <f>AND('Ark1'!A237,"AAAAAFc+/kQ=")</f>
        <v>#VALUE!</v>
      </c>
      <c r="BR9" t="e">
        <f>AND('Ark1'!B237,"AAAAAFc+/kU=")</f>
        <v>#VALUE!</v>
      </c>
      <c r="BS9" t="e">
        <f>AND('Ark1'!C237,"AAAAAFc+/kY=")</f>
        <v>#VALUE!</v>
      </c>
      <c r="BT9" t="e">
        <f>AND('Ark1'!D237,"AAAAAFc+/kc=")</f>
        <v>#VALUE!</v>
      </c>
      <c r="BU9" t="e">
        <f>AND('Ark1'!E237,"AAAAAFc+/kg=")</f>
        <v>#VALUE!</v>
      </c>
      <c r="BV9" t="e">
        <f>AND('Ark1'!F237,"AAAAAFc+/kk=")</f>
        <v>#VALUE!</v>
      </c>
      <c r="BW9" t="e">
        <f>AND('Ark1'!G237,"AAAAAFc+/ko=")</f>
        <v>#VALUE!</v>
      </c>
      <c r="BX9" t="e">
        <f>AND('Ark1'!H237,"AAAAAFc+/ks=")</f>
        <v>#VALUE!</v>
      </c>
      <c r="BY9">
        <f>IF('Ark1'!238:238,"AAAAAFc+/kw=",0)</f>
        <v>0</v>
      </c>
      <c r="BZ9" t="e">
        <f>AND('Ark1'!A238,"AAAAAFc+/k0=")</f>
        <v>#VALUE!</v>
      </c>
      <c r="CA9" t="e">
        <f>AND('Ark1'!B238,"AAAAAFc+/k4=")</f>
        <v>#VALUE!</v>
      </c>
      <c r="CB9" t="e">
        <f>AND('Ark1'!C238,"AAAAAFc+/k8=")</f>
        <v>#VALUE!</v>
      </c>
      <c r="CC9" t="e">
        <f>AND('Ark1'!D238,"AAAAAFc+/lA=")</f>
        <v>#VALUE!</v>
      </c>
      <c r="CD9" t="e">
        <f>AND('Ark1'!E238,"AAAAAFc+/lE=")</f>
        <v>#VALUE!</v>
      </c>
      <c r="CE9" t="e">
        <f>AND('Ark1'!F238,"AAAAAFc+/lI=")</f>
        <v>#VALUE!</v>
      </c>
      <c r="CF9" t="e">
        <f>AND('Ark1'!G238,"AAAAAFc+/lM=")</f>
        <v>#VALUE!</v>
      </c>
      <c r="CG9" t="e">
        <f>AND('Ark1'!H238,"AAAAAFc+/lQ=")</f>
        <v>#VALUE!</v>
      </c>
      <c r="CH9">
        <f>IF('Ark1'!239:239,"AAAAAFc+/lU=",0)</f>
        <v>0</v>
      </c>
      <c r="CI9" t="e">
        <f>AND('Ark1'!A239,"AAAAAFc+/lY=")</f>
        <v>#VALUE!</v>
      </c>
      <c r="CJ9" t="e">
        <f>AND('Ark1'!B239,"AAAAAFc+/lc=")</f>
        <v>#VALUE!</v>
      </c>
      <c r="CK9" t="e">
        <f>AND('Ark1'!C239,"AAAAAFc+/lg=")</f>
        <v>#VALUE!</v>
      </c>
      <c r="CL9" t="e">
        <f>AND('Ark1'!D239,"AAAAAFc+/lk=")</f>
        <v>#VALUE!</v>
      </c>
      <c r="CM9" t="e">
        <f>AND('Ark1'!E239,"AAAAAFc+/lo=")</f>
        <v>#VALUE!</v>
      </c>
      <c r="CN9" t="e">
        <f>AND('Ark1'!F239,"AAAAAFc+/ls=")</f>
        <v>#VALUE!</v>
      </c>
      <c r="CO9" t="e">
        <f>AND('Ark1'!G239,"AAAAAFc+/lw=")</f>
        <v>#VALUE!</v>
      </c>
      <c r="CP9" t="e">
        <f>AND('Ark1'!H239,"AAAAAFc+/l0=")</f>
        <v>#VALUE!</v>
      </c>
      <c r="CQ9">
        <f>IF('Ark1'!240:240,"AAAAAFc+/l4=",0)</f>
        <v>0</v>
      </c>
      <c r="CR9" t="e">
        <f>AND('Ark1'!A240,"AAAAAFc+/l8=")</f>
        <v>#VALUE!</v>
      </c>
      <c r="CS9" t="e">
        <f>AND('Ark1'!B240,"AAAAAFc+/mA=")</f>
        <v>#VALUE!</v>
      </c>
      <c r="CT9" t="e">
        <f>AND('Ark1'!C240,"AAAAAFc+/mE=")</f>
        <v>#VALUE!</v>
      </c>
      <c r="CU9" t="e">
        <f>AND('Ark1'!D240,"AAAAAFc+/mI=")</f>
        <v>#VALUE!</v>
      </c>
      <c r="CV9" t="e">
        <f>AND('Ark1'!E240,"AAAAAFc+/mM=")</f>
        <v>#VALUE!</v>
      </c>
      <c r="CW9" t="e">
        <f>AND('Ark1'!F240,"AAAAAFc+/mQ=")</f>
        <v>#VALUE!</v>
      </c>
      <c r="CX9" t="e">
        <f>AND('Ark1'!G240,"AAAAAFc+/mU=")</f>
        <v>#VALUE!</v>
      </c>
      <c r="CY9" t="e">
        <f>AND('Ark1'!H240,"AAAAAFc+/mY=")</f>
        <v>#VALUE!</v>
      </c>
      <c r="CZ9">
        <f>IF('Ark1'!241:241,"AAAAAFc+/mc=",0)</f>
        <v>0</v>
      </c>
      <c r="DA9" t="e">
        <f>AND('Ark1'!A241,"AAAAAFc+/mg=")</f>
        <v>#VALUE!</v>
      </c>
      <c r="DB9" t="e">
        <f>AND('Ark1'!B241,"AAAAAFc+/mk=")</f>
        <v>#VALUE!</v>
      </c>
      <c r="DC9" t="e">
        <f>AND('Ark1'!C241,"AAAAAFc+/mo=")</f>
        <v>#VALUE!</v>
      </c>
      <c r="DD9" t="e">
        <f>AND('Ark1'!D241,"AAAAAFc+/ms=")</f>
        <v>#VALUE!</v>
      </c>
      <c r="DE9" t="e">
        <f>AND('Ark1'!E241,"AAAAAFc+/mw=")</f>
        <v>#VALUE!</v>
      </c>
      <c r="DF9" t="e">
        <f>AND('Ark1'!F241,"AAAAAFc+/m0=")</f>
        <v>#VALUE!</v>
      </c>
      <c r="DG9" t="e">
        <f>AND('Ark1'!G241,"AAAAAFc+/m4=")</f>
        <v>#VALUE!</v>
      </c>
      <c r="DH9" t="e">
        <f>AND('Ark1'!H241,"AAAAAFc+/m8=")</f>
        <v>#VALUE!</v>
      </c>
      <c r="DI9">
        <f>IF('Ark1'!242:242,"AAAAAFc+/nA=",0)</f>
        <v>0</v>
      </c>
      <c r="DJ9" t="e">
        <f>AND('Ark1'!A242,"AAAAAFc+/nE=")</f>
        <v>#VALUE!</v>
      </c>
      <c r="DK9" t="e">
        <f>AND('Ark1'!B242,"AAAAAFc+/nI=")</f>
        <v>#VALUE!</v>
      </c>
      <c r="DL9" t="e">
        <f>AND('Ark1'!C242,"AAAAAFc+/nM=")</f>
        <v>#VALUE!</v>
      </c>
      <c r="DM9" t="e">
        <f>AND('Ark1'!D242,"AAAAAFc+/nQ=")</f>
        <v>#VALUE!</v>
      </c>
      <c r="DN9" t="e">
        <f>AND('Ark1'!E242,"AAAAAFc+/nU=")</f>
        <v>#VALUE!</v>
      </c>
      <c r="DO9" t="e">
        <f>AND('Ark1'!F242,"AAAAAFc+/nY=")</f>
        <v>#VALUE!</v>
      </c>
      <c r="DP9" t="e">
        <f>AND('Ark1'!G242,"AAAAAFc+/nc=")</f>
        <v>#VALUE!</v>
      </c>
      <c r="DQ9" t="e">
        <f>AND('Ark1'!H242,"AAAAAFc+/ng=")</f>
        <v>#VALUE!</v>
      </c>
      <c r="DR9">
        <f>IF('Ark1'!243:243,"AAAAAFc+/nk=",0)</f>
        <v>0</v>
      </c>
      <c r="DS9" t="e">
        <f>AND('Ark1'!A243,"AAAAAFc+/no=")</f>
        <v>#VALUE!</v>
      </c>
      <c r="DT9" t="e">
        <f>AND('Ark1'!B243,"AAAAAFc+/ns=")</f>
        <v>#VALUE!</v>
      </c>
      <c r="DU9" t="e">
        <f>AND('Ark1'!C243,"AAAAAFc+/nw=")</f>
        <v>#VALUE!</v>
      </c>
      <c r="DV9" t="e">
        <f>AND('Ark1'!D243,"AAAAAFc+/n0=")</f>
        <v>#VALUE!</v>
      </c>
      <c r="DW9" t="e">
        <f>AND('Ark1'!E243,"AAAAAFc+/n4=")</f>
        <v>#VALUE!</v>
      </c>
      <c r="DX9" t="e">
        <f>AND('Ark1'!F243,"AAAAAFc+/n8=")</f>
        <v>#VALUE!</v>
      </c>
      <c r="DY9" t="e">
        <f>AND('Ark1'!G243,"AAAAAFc+/oA=")</f>
        <v>#VALUE!</v>
      </c>
      <c r="DZ9" t="e">
        <f>AND('Ark1'!H243,"AAAAAFc+/oE=")</f>
        <v>#VALUE!</v>
      </c>
      <c r="EA9">
        <f>IF('Ark1'!244:244,"AAAAAFc+/oI=",0)</f>
        <v>0</v>
      </c>
      <c r="EB9" t="e">
        <f>AND('Ark1'!A244,"AAAAAFc+/oM=")</f>
        <v>#VALUE!</v>
      </c>
      <c r="EC9" t="e">
        <f>AND('Ark1'!B244,"AAAAAFc+/oQ=")</f>
        <v>#VALUE!</v>
      </c>
      <c r="ED9" t="e">
        <f>AND('Ark1'!C244,"AAAAAFc+/oU=")</f>
        <v>#VALUE!</v>
      </c>
      <c r="EE9" t="e">
        <f>AND('Ark1'!D244,"AAAAAFc+/oY=")</f>
        <v>#VALUE!</v>
      </c>
      <c r="EF9" t="e">
        <f>AND('Ark1'!E244,"AAAAAFc+/oc=")</f>
        <v>#VALUE!</v>
      </c>
      <c r="EG9" t="e">
        <f>AND('Ark1'!F244,"AAAAAFc+/og=")</f>
        <v>#VALUE!</v>
      </c>
      <c r="EH9" t="e">
        <f>AND('Ark1'!G244,"AAAAAFc+/ok=")</f>
        <v>#VALUE!</v>
      </c>
      <c r="EI9" t="e">
        <f>AND('Ark1'!H244,"AAAAAFc+/oo=")</f>
        <v>#VALUE!</v>
      </c>
      <c r="EJ9">
        <f>IF('Ark1'!245:245,"AAAAAFc+/os=",0)</f>
        <v>0</v>
      </c>
      <c r="EK9" t="e">
        <f>AND('Ark1'!A245,"AAAAAFc+/ow=")</f>
        <v>#VALUE!</v>
      </c>
      <c r="EL9" t="e">
        <f>AND('Ark1'!B245,"AAAAAFc+/o0=")</f>
        <v>#VALUE!</v>
      </c>
      <c r="EM9" t="e">
        <f>AND('Ark1'!C245,"AAAAAFc+/o4=")</f>
        <v>#VALUE!</v>
      </c>
      <c r="EN9" t="e">
        <f>AND('Ark1'!D245,"AAAAAFc+/o8=")</f>
        <v>#VALUE!</v>
      </c>
      <c r="EO9" t="e">
        <f>AND('Ark1'!E245,"AAAAAFc+/pA=")</f>
        <v>#VALUE!</v>
      </c>
      <c r="EP9" t="e">
        <f>AND('Ark1'!F245,"AAAAAFc+/pE=")</f>
        <v>#VALUE!</v>
      </c>
      <c r="EQ9" t="e">
        <f>AND('Ark1'!G245,"AAAAAFc+/pI=")</f>
        <v>#VALUE!</v>
      </c>
      <c r="ER9" t="e">
        <f>AND('Ark1'!H245,"AAAAAFc+/pM=")</f>
        <v>#VALUE!</v>
      </c>
      <c r="ES9">
        <f>IF('Ark1'!246:246,"AAAAAFc+/pQ=",0)</f>
        <v>0</v>
      </c>
      <c r="ET9" t="e">
        <f>AND('Ark1'!A246,"AAAAAFc+/pU=")</f>
        <v>#VALUE!</v>
      </c>
      <c r="EU9" t="e">
        <f>AND('Ark1'!B246,"AAAAAFc+/pY=")</f>
        <v>#VALUE!</v>
      </c>
      <c r="EV9" t="e">
        <f>AND('Ark1'!C246,"AAAAAFc+/pc=")</f>
        <v>#VALUE!</v>
      </c>
      <c r="EW9" t="e">
        <f>AND('Ark1'!D246,"AAAAAFc+/pg=")</f>
        <v>#VALUE!</v>
      </c>
      <c r="EX9" t="e">
        <f>AND('Ark1'!E246,"AAAAAFc+/pk=")</f>
        <v>#VALUE!</v>
      </c>
      <c r="EY9" t="e">
        <f>AND('Ark1'!F246,"AAAAAFc+/po=")</f>
        <v>#VALUE!</v>
      </c>
      <c r="EZ9" t="e">
        <f>AND('Ark1'!G246,"AAAAAFc+/ps=")</f>
        <v>#VALUE!</v>
      </c>
      <c r="FA9" t="e">
        <f>AND('Ark1'!H246,"AAAAAFc+/pw=")</f>
        <v>#VALUE!</v>
      </c>
      <c r="FB9">
        <f>IF('Ark1'!247:247,"AAAAAFc+/p0=",0)</f>
        <v>0</v>
      </c>
      <c r="FC9" t="e">
        <f>AND('Ark1'!A247,"AAAAAFc+/p4=")</f>
        <v>#VALUE!</v>
      </c>
      <c r="FD9" t="e">
        <f>AND('Ark1'!B247,"AAAAAFc+/p8=")</f>
        <v>#VALUE!</v>
      </c>
      <c r="FE9" t="e">
        <f>AND('Ark1'!C247,"AAAAAFc+/qA=")</f>
        <v>#VALUE!</v>
      </c>
      <c r="FF9" t="e">
        <f>AND('Ark1'!D247,"AAAAAFc+/qE=")</f>
        <v>#VALUE!</v>
      </c>
      <c r="FG9" t="e">
        <f>AND('Ark1'!E247,"AAAAAFc+/qI=")</f>
        <v>#VALUE!</v>
      </c>
      <c r="FH9" t="e">
        <f>AND('Ark1'!F247,"AAAAAFc+/qM=")</f>
        <v>#VALUE!</v>
      </c>
      <c r="FI9" t="e">
        <f>AND('Ark1'!G247,"AAAAAFc+/qQ=")</f>
        <v>#VALUE!</v>
      </c>
      <c r="FJ9" t="e">
        <f>AND('Ark1'!H247,"AAAAAFc+/qU=")</f>
        <v>#VALUE!</v>
      </c>
      <c r="FK9">
        <f>IF('Ark1'!248:248,"AAAAAFc+/qY=",0)</f>
        <v>0</v>
      </c>
      <c r="FL9" t="e">
        <f>AND('Ark1'!A248,"AAAAAFc+/qc=")</f>
        <v>#VALUE!</v>
      </c>
      <c r="FM9" t="e">
        <f>AND('Ark1'!B248,"AAAAAFc+/qg=")</f>
        <v>#VALUE!</v>
      </c>
      <c r="FN9" t="e">
        <f>AND('Ark1'!C248,"AAAAAFc+/qk=")</f>
        <v>#VALUE!</v>
      </c>
      <c r="FO9" t="e">
        <f>AND('Ark1'!D248,"AAAAAFc+/qo=")</f>
        <v>#VALUE!</v>
      </c>
      <c r="FP9" t="e">
        <f>AND('Ark1'!E248,"AAAAAFc+/qs=")</f>
        <v>#VALUE!</v>
      </c>
      <c r="FQ9" t="e">
        <f>AND('Ark1'!F248,"AAAAAFc+/qw=")</f>
        <v>#VALUE!</v>
      </c>
      <c r="FR9" t="e">
        <f>AND('Ark1'!G248,"AAAAAFc+/q0=")</f>
        <v>#VALUE!</v>
      </c>
      <c r="FS9" t="e">
        <f>AND('Ark1'!H248,"AAAAAFc+/q4=")</f>
        <v>#VALUE!</v>
      </c>
      <c r="FT9">
        <f>IF('Ark1'!249:249,"AAAAAFc+/q8=",0)</f>
        <v>0</v>
      </c>
      <c r="FU9" t="e">
        <f>AND('Ark1'!A249,"AAAAAFc+/rA=")</f>
        <v>#VALUE!</v>
      </c>
      <c r="FV9" t="e">
        <f>AND('Ark1'!B249,"AAAAAFc+/rE=")</f>
        <v>#VALUE!</v>
      </c>
      <c r="FW9" t="e">
        <f>AND('Ark1'!C249,"AAAAAFc+/rI=")</f>
        <v>#VALUE!</v>
      </c>
      <c r="FX9" t="e">
        <f>AND('Ark1'!D249,"AAAAAFc+/rM=")</f>
        <v>#VALUE!</v>
      </c>
      <c r="FY9" t="e">
        <f>AND('Ark1'!E249,"AAAAAFc+/rQ=")</f>
        <v>#VALUE!</v>
      </c>
      <c r="FZ9" t="e">
        <f>AND('Ark1'!F249,"AAAAAFc+/rU=")</f>
        <v>#VALUE!</v>
      </c>
      <c r="GA9" t="e">
        <f>AND('Ark1'!G249,"AAAAAFc+/rY=")</f>
        <v>#VALUE!</v>
      </c>
      <c r="GB9" t="e">
        <f>AND('Ark1'!H249,"AAAAAFc+/rc=")</f>
        <v>#VALUE!</v>
      </c>
      <c r="GC9">
        <f>IF('Ark1'!250:250,"AAAAAFc+/rg=",0)</f>
        <v>0</v>
      </c>
      <c r="GD9" t="e">
        <f>AND('Ark1'!A250,"AAAAAFc+/rk=")</f>
        <v>#VALUE!</v>
      </c>
      <c r="GE9" t="e">
        <f>AND('Ark1'!B250,"AAAAAFc+/ro=")</f>
        <v>#VALUE!</v>
      </c>
      <c r="GF9" t="e">
        <f>AND('Ark1'!C250,"AAAAAFc+/rs=")</f>
        <v>#VALUE!</v>
      </c>
      <c r="GG9" t="e">
        <f>AND('Ark1'!D250,"AAAAAFc+/rw=")</f>
        <v>#VALUE!</v>
      </c>
      <c r="GH9" t="e">
        <f>AND('Ark1'!E250,"AAAAAFc+/r0=")</f>
        <v>#VALUE!</v>
      </c>
      <c r="GI9" t="e">
        <f>AND('Ark1'!F250,"AAAAAFc+/r4=")</f>
        <v>#VALUE!</v>
      </c>
      <c r="GJ9" t="e">
        <f>AND('Ark1'!G250,"AAAAAFc+/r8=")</f>
        <v>#VALUE!</v>
      </c>
      <c r="GK9" t="e">
        <f>AND('Ark1'!H250,"AAAAAFc+/sA=")</f>
        <v>#VALUE!</v>
      </c>
      <c r="GL9">
        <f>IF('Ark1'!251:251,"AAAAAFc+/sE=",0)</f>
        <v>0</v>
      </c>
      <c r="GM9" t="e">
        <f>AND('Ark1'!A251,"AAAAAFc+/sI=")</f>
        <v>#VALUE!</v>
      </c>
      <c r="GN9" t="e">
        <f>AND('Ark1'!B251,"AAAAAFc+/sM=")</f>
        <v>#VALUE!</v>
      </c>
      <c r="GO9" t="e">
        <f>AND('Ark1'!C251,"AAAAAFc+/sQ=")</f>
        <v>#VALUE!</v>
      </c>
      <c r="GP9" t="e">
        <f>AND('Ark1'!D251,"AAAAAFc+/sU=")</f>
        <v>#VALUE!</v>
      </c>
      <c r="GQ9" t="e">
        <f>AND('Ark1'!E251,"AAAAAFc+/sY=")</f>
        <v>#VALUE!</v>
      </c>
      <c r="GR9" t="e">
        <f>AND('Ark1'!F251,"AAAAAFc+/sc=")</f>
        <v>#VALUE!</v>
      </c>
      <c r="GS9" t="e">
        <f>AND('Ark1'!G251,"AAAAAFc+/sg=")</f>
        <v>#VALUE!</v>
      </c>
      <c r="GT9" t="e">
        <f>AND('Ark1'!H251,"AAAAAFc+/sk=")</f>
        <v>#VALUE!</v>
      </c>
      <c r="GU9">
        <f>IF('Ark1'!252:252,"AAAAAFc+/so=",0)</f>
        <v>0</v>
      </c>
      <c r="GV9" t="e">
        <f>AND('Ark1'!A252,"AAAAAFc+/ss=")</f>
        <v>#VALUE!</v>
      </c>
      <c r="GW9" t="e">
        <f>AND('Ark1'!B252,"AAAAAFc+/sw=")</f>
        <v>#VALUE!</v>
      </c>
      <c r="GX9" t="e">
        <f>AND('Ark1'!C252,"AAAAAFc+/s0=")</f>
        <v>#VALUE!</v>
      </c>
      <c r="GY9" t="e">
        <f>AND('Ark1'!D252,"AAAAAFc+/s4=")</f>
        <v>#VALUE!</v>
      </c>
      <c r="GZ9" t="e">
        <f>AND('Ark1'!E252,"AAAAAFc+/s8=")</f>
        <v>#VALUE!</v>
      </c>
      <c r="HA9" t="e">
        <f>AND('Ark1'!F252,"AAAAAFc+/tA=")</f>
        <v>#VALUE!</v>
      </c>
      <c r="HB9" t="e">
        <f>AND('Ark1'!G252,"AAAAAFc+/tE=")</f>
        <v>#VALUE!</v>
      </c>
      <c r="HC9" t="e">
        <f>AND('Ark1'!H252,"AAAAAFc+/tI=")</f>
        <v>#VALUE!</v>
      </c>
      <c r="HD9">
        <f>IF('Ark1'!253:253,"AAAAAFc+/tM=",0)</f>
        <v>0</v>
      </c>
      <c r="HE9" t="e">
        <f>AND('Ark1'!A253,"AAAAAFc+/tQ=")</f>
        <v>#VALUE!</v>
      </c>
      <c r="HF9" t="e">
        <f>AND('Ark1'!B253,"AAAAAFc+/tU=")</f>
        <v>#VALUE!</v>
      </c>
      <c r="HG9" t="e">
        <f>AND('Ark1'!C253,"AAAAAFc+/tY=")</f>
        <v>#VALUE!</v>
      </c>
      <c r="HH9" t="e">
        <f>AND('Ark1'!D253,"AAAAAFc+/tc=")</f>
        <v>#VALUE!</v>
      </c>
      <c r="HI9" t="e">
        <f>AND('Ark1'!E253,"AAAAAFc+/tg=")</f>
        <v>#VALUE!</v>
      </c>
      <c r="HJ9" t="e">
        <f>AND('Ark1'!F253,"AAAAAFc+/tk=")</f>
        <v>#VALUE!</v>
      </c>
      <c r="HK9" t="e">
        <f>AND('Ark1'!G253,"AAAAAFc+/to=")</f>
        <v>#VALUE!</v>
      </c>
      <c r="HL9" t="e">
        <f>AND('Ark1'!H253,"AAAAAFc+/ts=")</f>
        <v>#VALUE!</v>
      </c>
      <c r="HM9">
        <f>IF('Ark1'!254:254,"AAAAAFc+/tw=",0)</f>
        <v>0</v>
      </c>
      <c r="HN9" t="e">
        <f>AND('Ark1'!A254,"AAAAAFc+/t0=")</f>
        <v>#VALUE!</v>
      </c>
      <c r="HO9" t="e">
        <f>AND('Ark1'!B254,"AAAAAFc+/t4=")</f>
        <v>#VALUE!</v>
      </c>
      <c r="HP9" t="e">
        <f>AND('Ark1'!C254,"AAAAAFc+/t8=")</f>
        <v>#VALUE!</v>
      </c>
      <c r="HQ9" t="e">
        <f>AND('Ark1'!D254,"AAAAAFc+/uA=")</f>
        <v>#VALUE!</v>
      </c>
      <c r="HR9" t="e">
        <f>AND('Ark1'!E254,"AAAAAFc+/uE=")</f>
        <v>#VALUE!</v>
      </c>
      <c r="HS9" t="e">
        <f>AND('Ark1'!F254,"AAAAAFc+/uI=")</f>
        <v>#VALUE!</v>
      </c>
      <c r="HT9" t="e">
        <f>AND('Ark1'!G254,"AAAAAFc+/uM=")</f>
        <v>#VALUE!</v>
      </c>
      <c r="HU9" t="e">
        <f>AND('Ark1'!H254,"AAAAAFc+/uQ=")</f>
        <v>#VALUE!</v>
      </c>
      <c r="HV9">
        <f>IF('Ark1'!255:255,"AAAAAFc+/uU=",0)</f>
        <v>0</v>
      </c>
      <c r="HW9" t="e">
        <f>AND('Ark1'!A255,"AAAAAFc+/uY=")</f>
        <v>#VALUE!</v>
      </c>
      <c r="HX9" t="e">
        <f>AND('Ark1'!B255,"AAAAAFc+/uc=")</f>
        <v>#VALUE!</v>
      </c>
      <c r="HY9" t="e">
        <f>AND('Ark1'!C255,"AAAAAFc+/ug=")</f>
        <v>#VALUE!</v>
      </c>
      <c r="HZ9" t="e">
        <f>AND('Ark1'!D255,"AAAAAFc+/uk=")</f>
        <v>#VALUE!</v>
      </c>
      <c r="IA9" t="e">
        <f>AND('Ark1'!E255,"AAAAAFc+/uo=")</f>
        <v>#VALUE!</v>
      </c>
      <c r="IB9" t="e">
        <f>AND('Ark1'!F255,"AAAAAFc+/us=")</f>
        <v>#VALUE!</v>
      </c>
      <c r="IC9" t="e">
        <f>AND('Ark1'!G255,"AAAAAFc+/uw=")</f>
        <v>#VALUE!</v>
      </c>
      <c r="ID9" t="e">
        <f>AND('Ark1'!H255,"AAAAAFc+/u0=")</f>
        <v>#VALUE!</v>
      </c>
      <c r="IE9">
        <f>IF('Ark1'!256:256,"AAAAAFc+/u4=",0)</f>
        <v>0</v>
      </c>
      <c r="IF9" t="e">
        <f>AND('Ark1'!A256,"AAAAAFc+/u8=")</f>
        <v>#VALUE!</v>
      </c>
      <c r="IG9" t="e">
        <f>AND('Ark1'!B256,"AAAAAFc+/vA=")</f>
        <v>#VALUE!</v>
      </c>
      <c r="IH9" t="e">
        <f>AND('Ark1'!C256,"AAAAAFc+/vE=")</f>
        <v>#VALUE!</v>
      </c>
      <c r="II9" t="e">
        <f>AND('Ark1'!D256,"AAAAAFc+/vI=")</f>
        <v>#VALUE!</v>
      </c>
      <c r="IJ9" t="e">
        <f>AND('Ark1'!E256,"AAAAAFc+/vM=")</f>
        <v>#VALUE!</v>
      </c>
      <c r="IK9" t="e">
        <f>AND('Ark1'!F256,"AAAAAFc+/vQ=")</f>
        <v>#VALUE!</v>
      </c>
      <c r="IL9" t="e">
        <f>AND('Ark1'!G256,"AAAAAFc+/vU=")</f>
        <v>#VALUE!</v>
      </c>
      <c r="IM9" t="e">
        <f>AND('Ark1'!H256,"AAAAAFc+/vY=")</f>
        <v>#VALUE!</v>
      </c>
      <c r="IN9">
        <f>IF('Ark1'!257:257,"AAAAAFc+/vc=",0)</f>
        <v>0</v>
      </c>
      <c r="IO9" t="e">
        <f>AND('Ark1'!A257,"AAAAAFc+/vg=")</f>
        <v>#VALUE!</v>
      </c>
      <c r="IP9" t="e">
        <f>AND('Ark1'!B257,"AAAAAFc+/vk=")</f>
        <v>#VALUE!</v>
      </c>
      <c r="IQ9" t="e">
        <f>AND('Ark1'!C257,"AAAAAFc+/vo=")</f>
        <v>#VALUE!</v>
      </c>
      <c r="IR9" t="e">
        <f>AND('Ark1'!D257,"AAAAAFc+/vs=")</f>
        <v>#VALUE!</v>
      </c>
      <c r="IS9" t="e">
        <f>AND('Ark1'!E257,"AAAAAFc+/vw=")</f>
        <v>#VALUE!</v>
      </c>
      <c r="IT9" t="e">
        <f>AND('Ark1'!F257,"AAAAAFc+/v0=")</f>
        <v>#VALUE!</v>
      </c>
      <c r="IU9" t="e">
        <f>AND('Ark1'!G257,"AAAAAFc+/v4=")</f>
        <v>#VALUE!</v>
      </c>
      <c r="IV9" t="e">
        <f>AND('Ark1'!H257,"AAAAAFc+/v8=")</f>
        <v>#VALUE!</v>
      </c>
    </row>
    <row r="10" spans="1:256" x14ac:dyDescent="0.25">
      <c r="A10" t="str">
        <f>IF('Ark1'!258:258,"AAAAAH9/+wA=",0)</f>
        <v>AAAAAH9/+wA=</v>
      </c>
      <c r="B10" t="e">
        <f>AND('Ark1'!A258,"AAAAAH9/+wE=")</f>
        <v>#VALUE!</v>
      </c>
      <c r="C10" t="e">
        <f>AND('Ark1'!B258,"AAAAAH9/+wI=")</f>
        <v>#VALUE!</v>
      </c>
      <c r="D10" t="e">
        <f>AND('Ark1'!C258,"AAAAAH9/+wM=")</f>
        <v>#VALUE!</v>
      </c>
      <c r="E10" t="e">
        <f>AND('Ark1'!D258,"AAAAAH9/+wQ=")</f>
        <v>#VALUE!</v>
      </c>
      <c r="F10" t="e">
        <f>AND('Ark1'!E258,"AAAAAH9/+wU=")</f>
        <v>#VALUE!</v>
      </c>
      <c r="G10" t="e">
        <f>AND('Ark1'!F258,"AAAAAH9/+wY=")</f>
        <v>#VALUE!</v>
      </c>
      <c r="H10" t="e">
        <f>AND('Ark1'!G258,"AAAAAH9/+wc=")</f>
        <v>#VALUE!</v>
      </c>
      <c r="I10" t="e">
        <f>AND('Ark1'!H258,"AAAAAH9/+wg=")</f>
        <v>#VALUE!</v>
      </c>
      <c r="J10">
        <f>IF('Ark1'!259:259,"AAAAAH9/+wk=",0)</f>
        <v>0</v>
      </c>
      <c r="K10" t="e">
        <f>AND('Ark1'!A259,"AAAAAH9/+wo=")</f>
        <v>#VALUE!</v>
      </c>
      <c r="L10" t="e">
        <f>AND('Ark1'!B259,"AAAAAH9/+ws=")</f>
        <v>#VALUE!</v>
      </c>
      <c r="M10" t="e">
        <f>AND('Ark1'!C259,"AAAAAH9/+ww=")</f>
        <v>#VALUE!</v>
      </c>
      <c r="N10" t="e">
        <f>AND('Ark1'!D259,"AAAAAH9/+w0=")</f>
        <v>#VALUE!</v>
      </c>
      <c r="O10" t="e">
        <f>AND('Ark1'!E259,"AAAAAH9/+w4=")</f>
        <v>#VALUE!</v>
      </c>
      <c r="P10" t="e">
        <f>AND('Ark1'!F259,"AAAAAH9/+w8=")</f>
        <v>#VALUE!</v>
      </c>
      <c r="Q10" t="e">
        <f>AND('Ark1'!G259,"AAAAAH9/+xA=")</f>
        <v>#VALUE!</v>
      </c>
      <c r="R10" t="e">
        <f>AND('Ark1'!H259,"AAAAAH9/+xE=")</f>
        <v>#VALUE!</v>
      </c>
      <c r="S10">
        <f>IF('Ark1'!260:260,"AAAAAH9/+xI=",0)</f>
        <v>0</v>
      </c>
      <c r="T10" t="e">
        <f>AND('Ark1'!A260,"AAAAAH9/+xM=")</f>
        <v>#VALUE!</v>
      </c>
      <c r="U10" t="e">
        <f>AND('Ark1'!B260,"AAAAAH9/+xQ=")</f>
        <v>#VALUE!</v>
      </c>
      <c r="V10" t="e">
        <f>AND('Ark1'!C260,"AAAAAH9/+xU=")</f>
        <v>#VALUE!</v>
      </c>
      <c r="W10" t="e">
        <f>AND('Ark1'!D260,"AAAAAH9/+xY=")</f>
        <v>#VALUE!</v>
      </c>
      <c r="X10" t="e">
        <f>AND('Ark1'!E260,"AAAAAH9/+xc=")</f>
        <v>#VALUE!</v>
      </c>
      <c r="Y10" t="e">
        <f>AND('Ark1'!F260,"AAAAAH9/+xg=")</f>
        <v>#VALUE!</v>
      </c>
      <c r="Z10" t="e">
        <f>AND('Ark1'!G260,"AAAAAH9/+xk=")</f>
        <v>#VALUE!</v>
      </c>
      <c r="AA10" t="e">
        <f>AND('Ark1'!H260,"AAAAAH9/+xo=")</f>
        <v>#VALUE!</v>
      </c>
      <c r="AB10">
        <f>IF('Ark1'!261:261,"AAAAAH9/+xs=",0)</f>
        <v>0</v>
      </c>
      <c r="AC10" t="e">
        <f>AND('Ark1'!A261,"AAAAAH9/+xw=")</f>
        <v>#VALUE!</v>
      </c>
      <c r="AD10" t="e">
        <f>AND('Ark1'!B261,"AAAAAH9/+x0=")</f>
        <v>#VALUE!</v>
      </c>
      <c r="AE10" t="e">
        <f>AND('Ark1'!C261,"AAAAAH9/+x4=")</f>
        <v>#VALUE!</v>
      </c>
      <c r="AF10" t="e">
        <f>AND('Ark1'!D261,"AAAAAH9/+x8=")</f>
        <v>#VALUE!</v>
      </c>
      <c r="AG10" t="e">
        <f>AND('Ark1'!E261,"AAAAAH9/+yA=")</f>
        <v>#VALUE!</v>
      </c>
      <c r="AH10" t="e">
        <f>AND('Ark1'!F261,"AAAAAH9/+yE=")</f>
        <v>#VALUE!</v>
      </c>
      <c r="AI10" t="e">
        <f>AND('Ark1'!G261,"AAAAAH9/+yI=")</f>
        <v>#VALUE!</v>
      </c>
      <c r="AJ10" t="e">
        <f>AND('Ark1'!H261,"AAAAAH9/+yM=")</f>
        <v>#VALUE!</v>
      </c>
      <c r="AK10">
        <f>IF('Ark1'!262:262,"AAAAAH9/+yQ=",0)</f>
        <v>0</v>
      </c>
      <c r="AL10" t="e">
        <f>AND('Ark1'!A262,"AAAAAH9/+yU=")</f>
        <v>#VALUE!</v>
      </c>
      <c r="AM10" t="e">
        <f>AND('Ark1'!B262,"AAAAAH9/+yY=")</f>
        <v>#VALUE!</v>
      </c>
      <c r="AN10" t="e">
        <f>AND('Ark1'!C262,"AAAAAH9/+yc=")</f>
        <v>#VALUE!</v>
      </c>
      <c r="AO10" t="e">
        <f>AND('Ark1'!D262,"AAAAAH9/+yg=")</f>
        <v>#VALUE!</v>
      </c>
      <c r="AP10" t="e">
        <f>AND('Ark1'!E262,"AAAAAH9/+yk=")</f>
        <v>#VALUE!</v>
      </c>
      <c r="AQ10" t="e">
        <f>AND('Ark1'!F262,"AAAAAH9/+yo=")</f>
        <v>#VALUE!</v>
      </c>
      <c r="AR10" t="e">
        <f>AND('Ark1'!G262,"AAAAAH9/+ys=")</f>
        <v>#VALUE!</v>
      </c>
      <c r="AS10" t="e">
        <f>AND('Ark1'!H262,"AAAAAH9/+yw=")</f>
        <v>#VALUE!</v>
      </c>
      <c r="AT10">
        <f>IF('Ark1'!263:263,"AAAAAH9/+y0=",0)</f>
        <v>0</v>
      </c>
      <c r="AU10" t="e">
        <f>AND('Ark1'!A263,"AAAAAH9/+y4=")</f>
        <v>#VALUE!</v>
      </c>
      <c r="AV10" t="e">
        <f>AND('Ark1'!B263,"AAAAAH9/+y8=")</f>
        <v>#VALUE!</v>
      </c>
      <c r="AW10" t="e">
        <f>AND('Ark1'!C263,"AAAAAH9/+zA=")</f>
        <v>#VALUE!</v>
      </c>
      <c r="AX10" t="e">
        <f>AND('Ark1'!D263,"AAAAAH9/+zE=")</f>
        <v>#VALUE!</v>
      </c>
      <c r="AY10" t="e">
        <f>AND('Ark1'!E263,"AAAAAH9/+zI=")</f>
        <v>#VALUE!</v>
      </c>
      <c r="AZ10" t="e">
        <f>AND('Ark1'!F263,"AAAAAH9/+zM=")</f>
        <v>#VALUE!</v>
      </c>
      <c r="BA10" t="e">
        <f>AND('Ark1'!G263,"AAAAAH9/+zQ=")</f>
        <v>#VALUE!</v>
      </c>
      <c r="BB10" t="e">
        <f>AND('Ark1'!H263,"AAAAAH9/+zU=")</f>
        <v>#VALUE!</v>
      </c>
      <c r="BC10">
        <f>IF('Ark1'!264:264,"AAAAAH9/+zY=",0)</f>
        <v>0</v>
      </c>
      <c r="BD10" t="e">
        <f>AND('Ark1'!A264,"AAAAAH9/+zc=")</f>
        <v>#VALUE!</v>
      </c>
      <c r="BE10" t="e">
        <f>AND('Ark1'!B264,"AAAAAH9/+zg=")</f>
        <v>#VALUE!</v>
      </c>
      <c r="BF10" t="e">
        <f>AND('Ark1'!C264,"AAAAAH9/+zk=")</f>
        <v>#VALUE!</v>
      </c>
      <c r="BG10" t="e">
        <f>AND('Ark1'!D264,"AAAAAH9/+zo=")</f>
        <v>#VALUE!</v>
      </c>
      <c r="BH10" t="e">
        <f>AND('Ark1'!E264,"AAAAAH9/+zs=")</f>
        <v>#VALUE!</v>
      </c>
      <c r="BI10" t="e">
        <f>AND('Ark1'!F264,"AAAAAH9/+zw=")</f>
        <v>#VALUE!</v>
      </c>
      <c r="BJ10" t="e">
        <f>AND('Ark1'!G264,"AAAAAH9/+z0=")</f>
        <v>#VALUE!</v>
      </c>
      <c r="BK10" t="e">
        <f>AND('Ark1'!H264,"AAAAAH9/+z4=")</f>
        <v>#VALUE!</v>
      </c>
      <c r="BL10">
        <f>IF('Ark1'!265:265,"AAAAAH9/+z8=",0)</f>
        <v>0</v>
      </c>
      <c r="BM10" t="e">
        <f>AND('Ark1'!A265,"AAAAAH9/+0A=")</f>
        <v>#VALUE!</v>
      </c>
      <c r="BN10" t="e">
        <f>AND('Ark1'!B265,"AAAAAH9/+0E=")</f>
        <v>#VALUE!</v>
      </c>
      <c r="BO10" t="e">
        <f>AND('Ark1'!C265,"AAAAAH9/+0I=")</f>
        <v>#VALUE!</v>
      </c>
      <c r="BP10" t="e">
        <f>AND('Ark1'!D265,"AAAAAH9/+0M=")</f>
        <v>#VALUE!</v>
      </c>
      <c r="BQ10" t="e">
        <f>AND('Ark1'!E265,"AAAAAH9/+0Q=")</f>
        <v>#VALUE!</v>
      </c>
      <c r="BR10" t="e">
        <f>AND('Ark1'!F265,"AAAAAH9/+0U=")</f>
        <v>#VALUE!</v>
      </c>
      <c r="BS10" t="e">
        <f>AND('Ark1'!G265,"AAAAAH9/+0Y=")</f>
        <v>#VALUE!</v>
      </c>
      <c r="BT10" t="e">
        <f>AND('Ark1'!H265,"AAAAAH9/+0c=")</f>
        <v>#VALUE!</v>
      </c>
      <c r="BU10">
        <f>IF('Ark1'!266:266,"AAAAAH9/+0g=",0)</f>
        <v>0</v>
      </c>
      <c r="BV10" t="e">
        <f>AND('Ark1'!A266,"AAAAAH9/+0k=")</f>
        <v>#VALUE!</v>
      </c>
      <c r="BW10" t="e">
        <f>AND('Ark1'!B266,"AAAAAH9/+0o=")</f>
        <v>#VALUE!</v>
      </c>
      <c r="BX10" t="e">
        <f>AND('Ark1'!C266,"AAAAAH9/+0s=")</f>
        <v>#VALUE!</v>
      </c>
      <c r="BY10" t="e">
        <f>AND('Ark1'!D266,"AAAAAH9/+0w=")</f>
        <v>#VALUE!</v>
      </c>
      <c r="BZ10" t="e">
        <f>AND('Ark1'!E266,"AAAAAH9/+00=")</f>
        <v>#VALUE!</v>
      </c>
      <c r="CA10" t="e">
        <f>AND('Ark1'!F266,"AAAAAH9/+04=")</f>
        <v>#VALUE!</v>
      </c>
      <c r="CB10" t="e">
        <f>AND('Ark1'!G266,"AAAAAH9/+08=")</f>
        <v>#VALUE!</v>
      </c>
      <c r="CC10" t="e">
        <f>AND('Ark1'!H266,"AAAAAH9/+1A=")</f>
        <v>#VALUE!</v>
      </c>
      <c r="CD10">
        <f>IF('Ark1'!267:267,"AAAAAH9/+1E=",0)</f>
        <v>0</v>
      </c>
      <c r="CE10" t="e">
        <f>AND('Ark1'!A267,"AAAAAH9/+1I=")</f>
        <v>#VALUE!</v>
      </c>
      <c r="CF10" t="e">
        <f>AND('Ark1'!B267,"AAAAAH9/+1M=")</f>
        <v>#VALUE!</v>
      </c>
      <c r="CG10" t="e">
        <f>AND('Ark1'!C267,"AAAAAH9/+1Q=")</f>
        <v>#VALUE!</v>
      </c>
      <c r="CH10" t="e">
        <f>AND('Ark1'!D267,"AAAAAH9/+1U=")</f>
        <v>#VALUE!</v>
      </c>
      <c r="CI10" t="e">
        <f>AND('Ark1'!E267,"AAAAAH9/+1Y=")</f>
        <v>#VALUE!</v>
      </c>
      <c r="CJ10" t="e">
        <f>AND('Ark1'!F267,"AAAAAH9/+1c=")</f>
        <v>#VALUE!</v>
      </c>
      <c r="CK10" t="e">
        <f>AND('Ark1'!G267,"AAAAAH9/+1g=")</f>
        <v>#VALUE!</v>
      </c>
      <c r="CL10" t="e">
        <f>AND('Ark1'!H267,"AAAAAH9/+1k=")</f>
        <v>#VALUE!</v>
      </c>
      <c r="CM10">
        <f>IF('Ark1'!268:268,"AAAAAH9/+1o=",0)</f>
        <v>0</v>
      </c>
      <c r="CN10" t="e">
        <f>AND('Ark1'!A268,"AAAAAH9/+1s=")</f>
        <v>#VALUE!</v>
      </c>
      <c r="CO10" t="e">
        <f>AND('Ark1'!B268,"AAAAAH9/+1w=")</f>
        <v>#VALUE!</v>
      </c>
      <c r="CP10" t="e">
        <f>AND('Ark1'!C268,"AAAAAH9/+10=")</f>
        <v>#VALUE!</v>
      </c>
      <c r="CQ10" t="e">
        <f>AND('Ark1'!D268,"AAAAAH9/+14=")</f>
        <v>#VALUE!</v>
      </c>
      <c r="CR10" t="e">
        <f>AND('Ark1'!E268,"AAAAAH9/+18=")</f>
        <v>#VALUE!</v>
      </c>
      <c r="CS10" t="e">
        <f>AND('Ark1'!F268,"AAAAAH9/+2A=")</f>
        <v>#VALUE!</v>
      </c>
      <c r="CT10" t="e">
        <f>AND('Ark1'!G268,"AAAAAH9/+2E=")</f>
        <v>#VALUE!</v>
      </c>
      <c r="CU10" t="e">
        <f>AND('Ark1'!H268,"AAAAAH9/+2I=")</f>
        <v>#VALUE!</v>
      </c>
      <c r="CV10">
        <f>IF('Ark1'!269:269,"AAAAAH9/+2M=",0)</f>
        <v>0</v>
      </c>
      <c r="CW10" t="e">
        <f>AND('Ark1'!A269,"AAAAAH9/+2Q=")</f>
        <v>#VALUE!</v>
      </c>
      <c r="CX10" t="e">
        <f>AND('Ark1'!B269,"AAAAAH9/+2U=")</f>
        <v>#VALUE!</v>
      </c>
      <c r="CY10" t="e">
        <f>AND('Ark1'!C269,"AAAAAH9/+2Y=")</f>
        <v>#VALUE!</v>
      </c>
      <c r="CZ10" t="e">
        <f>AND('Ark1'!D269,"AAAAAH9/+2c=")</f>
        <v>#VALUE!</v>
      </c>
      <c r="DA10" t="e">
        <f>AND('Ark1'!E269,"AAAAAH9/+2g=")</f>
        <v>#VALUE!</v>
      </c>
      <c r="DB10" t="e">
        <f>AND('Ark1'!F269,"AAAAAH9/+2k=")</f>
        <v>#VALUE!</v>
      </c>
      <c r="DC10" t="e">
        <f>AND('Ark1'!G269,"AAAAAH9/+2o=")</f>
        <v>#VALUE!</v>
      </c>
      <c r="DD10" t="e">
        <f>AND('Ark1'!H269,"AAAAAH9/+2s=")</f>
        <v>#VALUE!</v>
      </c>
      <c r="DE10">
        <f>IF('Ark1'!270:270,"AAAAAH9/+2w=",0)</f>
        <v>0</v>
      </c>
      <c r="DF10" t="e">
        <f>AND('Ark1'!A270,"AAAAAH9/+20=")</f>
        <v>#VALUE!</v>
      </c>
      <c r="DG10" t="e">
        <f>AND('Ark1'!B270,"AAAAAH9/+24=")</f>
        <v>#VALUE!</v>
      </c>
      <c r="DH10" t="e">
        <f>AND('Ark1'!C270,"AAAAAH9/+28=")</f>
        <v>#VALUE!</v>
      </c>
      <c r="DI10" t="e">
        <f>AND('Ark1'!D270,"AAAAAH9/+3A=")</f>
        <v>#VALUE!</v>
      </c>
      <c r="DJ10" t="e">
        <f>AND('Ark1'!E270,"AAAAAH9/+3E=")</f>
        <v>#VALUE!</v>
      </c>
      <c r="DK10" t="e">
        <f>AND('Ark1'!F270,"AAAAAH9/+3I=")</f>
        <v>#VALUE!</v>
      </c>
      <c r="DL10" t="e">
        <f>AND('Ark1'!G270,"AAAAAH9/+3M=")</f>
        <v>#VALUE!</v>
      </c>
      <c r="DM10" t="e">
        <f>AND('Ark1'!H270,"AAAAAH9/+3Q=")</f>
        <v>#VALUE!</v>
      </c>
      <c r="DN10">
        <f>IF('Ark1'!271:271,"AAAAAH9/+3U=",0)</f>
        <v>0</v>
      </c>
      <c r="DO10" t="e">
        <f>AND('Ark1'!A271,"AAAAAH9/+3Y=")</f>
        <v>#VALUE!</v>
      </c>
      <c r="DP10" t="e">
        <f>AND('Ark1'!B271,"AAAAAH9/+3c=")</f>
        <v>#VALUE!</v>
      </c>
      <c r="DQ10" t="e">
        <f>AND('Ark1'!C271,"AAAAAH9/+3g=")</f>
        <v>#VALUE!</v>
      </c>
      <c r="DR10" t="e">
        <f>AND('Ark1'!D271,"AAAAAH9/+3k=")</f>
        <v>#VALUE!</v>
      </c>
      <c r="DS10" t="e">
        <f>AND('Ark1'!E271,"AAAAAH9/+3o=")</f>
        <v>#VALUE!</v>
      </c>
      <c r="DT10" t="e">
        <f>AND('Ark1'!F271,"AAAAAH9/+3s=")</f>
        <v>#VALUE!</v>
      </c>
      <c r="DU10" t="e">
        <f>AND('Ark1'!G271,"AAAAAH9/+3w=")</f>
        <v>#VALUE!</v>
      </c>
      <c r="DV10" t="e">
        <f>AND('Ark1'!H271,"AAAAAH9/+30=")</f>
        <v>#VALUE!</v>
      </c>
      <c r="DW10">
        <f>IF('Ark1'!272:272,"AAAAAH9/+34=",0)</f>
        <v>0</v>
      </c>
      <c r="DX10" t="e">
        <f>AND('Ark1'!A272,"AAAAAH9/+38=")</f>
        <v>#VALUE!</v>
      </c>
      <c r="DY10" t="e">
        <f>AND('Ark1'!B272,"AAAAAH9/+4A=")</f>
        <v>#VALUE!</v>
      </c>
      <c r="DZ10" t="e">
        <f>AND('Ark1'!C272,"AAAAAH9/+4E=")</f>
        <v>#VALUE!</v>
      </c>
      <c r="EA10" t="e">
        <f>AND('Ark1'!D272,"AAAAAH9/+4I=")</f>
        <v>#VALUE!</v>
      </c>
      <c r="EB10" t="e">
        <f>AND('Ark1'!E272,"AAAAAH9/+4M=")</f>
        <v>#VALUE!</v>
      </c>
      <c r="EC10" t="e">
        <f>AND('Ark1'!F272,"AAAAAH9/+4Q=")</f>
        <v>#VALUE!</v>
      </c>
      <c r="ED10" t="e">
        <f>AND('Ark1'!G272,"AAAAAH9/+4U=")</f>
        <v>#VALUE!</v>
      </c>
      <c r="EE10" t="e">
        <f>AND('Ark1'!H272,"AAAAAH9/+4Y=")</f>
        <v>#VALUE!</v>
      </c>
      <c r="EF10">
        <f>IF('Ark1'!273:273,"AAAAAH9/+4c=",0)</f>
        <v>0</v>
      </c>
      <c r="EG10" t="e">
        <f>AND('Ark1'!A273,"AAAAAH9/+4g=")</f>
        <v>#VALUE!</v>
      </c>
      <c r="EH10" t="e">
        <f>AND('Ark1'!B273,"AAAAAH9/+4k=")</f>
        <v>#VALUE!</v>
      </c>
      <c r="EI10" t="e">
        <f>AND('Ark1'!C273,"AAAAAH9/+4o=")</f>
        <v>#VALUE!</v>
      </c>
      <c r="EJ10" t="e">
        <f>AND('Ark1'!D273,"AAAAAH9/+4s=")</f>
        <v>#VALUE!</v>
      </c>
      <c r="EK10" t="e">
        <f>AND('Ark1'!E273,"AAAAAH9/+4w=")</f>
        <v>#VALUE!</v>
      </c>
      <c r="EL10" t="e">
        <f>AND('Ark1'!F273,"AAAAAH9/+40=")</f>
        <v>#VALUE!</v>
      </c>
      <c r="EM10" t="e">
        <f>AND('Ark1'!G273,"AAAAAH9/+44=")</f>
        <v>#VALUE!</v>
      </c>
      <c r="EN10" t="e">
        <f>AND('Ark1'!H273,"AAAAAH9/+48=")</f>
        <v>#VALUE!</v>
      </c>
      <c r="EO10">
        <f>IF('Ark1'!274:274,"AAAAAH9/+5A=",0)</f>
        <v>0</v>
      </c>
      <c r="EP10" t="e">
        <f>AND('Ark1'!A274,"AAAAAH9/+5E=")</f>
        <v>#VALUE!</v>
      </c>
      <c r="EQ10" t="e">
        <f>AND('Ark1'!B274,"AAAAAH9/+5I=")</f>
        <v>#VALUE!</v>
      </c>
      <c r="ER10" t="e">
        <f>AND('Ark1'!C274,"AAAAAH9/+5M=")</f>
        <v>#VALUE!</v>
      </c>
      <c r="ES10" t="e">
        <f>AND('Ark1'!D274,"AAAAAH9/+5Q=")</f>
        <v>#VALUE!</v>
      </c>
      <c r="ET10" t="e">
        <f>AND('Ark1'!E274,"AAAAAH9/+5U=")</f>
        <v>#VALUE!</v>
      </c>
      <c r="EU10" t="e">
        <f>AND('Ark1'!F274,"AAAAAH9/+5Y=")</f>
        <v>#VALUE!</v>
      </c>
      <c r="EV10" t="e">
        <f>AND('Ark1'!G274,"AAAAAH9/+5c=")</f>
        <v>#VALUE!</v>
      </c>
      <c r="EW10" t="e">
        <f>AND('Ark1'!H274,"AAAAAH9/+5g=")</f>
        <v>#VALUE!</v>
      </c>
      <c r="EX10">
        <f>IF('Ark1'!275:275,"AAAAAH9/+5k=",0)</f>
        <v>0</v>
      </c>
      <c r="EY10" t="e">
        <f>AND('Ark1'!A275,"AAAAAH9/+5o=")</f>
        <v>#VALUE!</v>
      </c>
      <c r="EZ10" t="e">
        <f>AND('Ark1'!B275,"AAAAAH9/+5s=")</f>
        <v>#VALUE!</v>
      </c>
      <c r="FA10" t="e">
        <f>AND('Ark1'!C275,"AAAAAH9/+5w=")</f>
        <v>#VALUE!</v>
      </c>
      <c r="FB10" t="e">
        <f>AND('Ark1'!D275,"AAAAAH9/+50=")</f>
        <v>#VALUE!</v>
      </c>
      <c r="FC10" t="e">
        <f>AND('Ark1'!E275,"AAAAAH9/+54=")</f>
        <v>#VALUE!</v>
      </c>
      <c r="FD10" t="e">
        <f>AND('Ark1'!F275,"AAAAAH9/+58=")</f>
        <v>#VALUE!</v>
      </c>
      <c r="FE10" t="e">
        <f>AND('Ark1'!G275,"AAAAAH9/+6A=")</f>
        <v>#VALUE!</v>
      </c>
      <c r="FF10" t="e">
        <f>AND('Ark1'!H275,"AAAAAH9/+6E=")</f>
        <v>#VALUE!</v>
      </c>
      <c r="FG10">
        <f>IF('Ark1'!276:276,"AAAAAH9/+6I=",0)</f>
        <v>0</v>
      </c>
      <c r="FH10" t="e">
        <f>AND('Ark1'!A276,"AAAAAH9/+6M=")</f>
        <v>#VALUE!</v>
      </c>
      <c r="FI10" t="e">
        <f>AND('Ark1'!B276,"AAAAAH9/+6Q=")</f>
        <v>#VALUE!</v>
      </c>
      <c r="FJ10" t="e">
        <f>AND('Ark1'!C276,"AAAAAH9/+6U=")</f>
        <v>#VALUE!</v>
      </c>
      <c r="FK10" t="e">
        <f>AND('Ark1'!D276,"AAAAAH9/+6Y=")</f>
        <v>#VALUE!</v>
      </c>
      <c r="FL10" t="e">
        <f>AND('Ark1'!E276,"AAAAAH9/+6c=")</f>
        <v>#VALUE!</v>
      </c>
      <c r="FM10" t="e">
        <f>AND('Ark1'!F276,"AAAAAH9/+6g=")</f>
        <v>#VALUE!</v>
      </c>
      <c r="FN10" t="e">
        <f>AND('Ark1'!G276,"AAAAAH9/+6k=")</f>
        <v>#VALUE!</v>
      </c>
      <c r="FO10" t="e">
        <f>AND('Ark1'!H276,"AAAAAH9/+6o=")</f>
        <v>#VALUE!</v>
      </c>
      <c r="FP10">
        <f>IF('Ark1'!277:277,"AAAAAH9/+6s=",0)</f>
        <v>0</v>
      </c>
      <c r="FQ10" t="e">
        <f>AND('Ark1'!A277,"AAAAAH9/+6w=")</f>
        <v>#VALUE!</v>
      </c>
      <c r="FR10" t="e">
        <f>AND('Ark1'!B277,"AAAAAH9/+60=")</f>
        <v>#VALUE!</v>
      </c>
      <c r="FS10" t="e">
        <f>AND('Ark1'!C277,"AAAAAH9/+64=")</f>
        <v>#VALUE!</v>
      </c>
      <c r="FT10" t="e">
        <f>AND('Ark1'!D277,"AAAAAH9/+68=")</f>
        <v>#VALUE!</v>
      </c>
      <c r="FU10" t="e">
        <f>AND('Ark1'!E277,"AAAAAH9/+7A=")</f>
        <v>#VALUE!</v>
      </c>
      <c r="FV10" t="e">
        <f>AND('Ark1'!F277,"AAAAAH9/+7E=")</f>
        <v>#VALUE!</v>
      </c>
      <c r="FW10" t="e">
        <f>AND('Ark1'!G277,"AAAAAH9/+7I=")</f>
        <v>#VALUE!</v>
      </c>
      <c r="FX10" t="e">
        <f>AND('Ark1'!H277,"AAAAAH9/+7M=")</f>
        <v>#VALUE!</v>
      </c>
      <c r="FY10">
        <f>IF('Ark1'!278:278,"AAAAAH9/+7Q=",0)</f>
        <v>0</v>
      </c>
      <c r="FZ10" t="e">
        <f>AND('Ark1'!A278,"AAAAAH9/+7U=")</f>
        <v>#VALUE!</v>
      </c>
      <c r="GA10" t="e">
        <f>AND('Ark1'!B278,"AAAAAH9/+7Y=")</f>
        <v>#VALUE!</v>
      </c>
      <c r="GB10" t="e">
        <f>AND('Ark1'!C278,"AAAAAH9/+7c=")</f>
        <v>#VALUE!</v>
      </c>
      <c r="GC10" t="e">
        <f>AND('Ark1'!D278,"AAAAAH9/+7g=")</f>
        <v>#VALUE!</v>
      </c>
      <c r="GD10" t="e">
        <f>AND('Ark1'!E278,"AAAAAH9/+7k=")</f>
        <v>#VALUE!</v>
      </c>
      <c r="GE10" t="e">
        <f>AND('Ark1'!F278,"AAAAAH9/+7o=")</f>
        <v>#VALUE!</v>
      </c>
      <c r="GF10" t="e">
        <f>AND('Ark1'!G278,"AAAAAH9/+7s=")</f>
        <v>#VALUE!</v>
      </c>
      <c r="GG10" t="e">
        <f>AND('Ark1'!H278,"AAAAAH9/+7w=")</f>
        <v>#VALUE!</v>
      </c>
      <c r="GH10">
        <f>IF('Ark1'!279:279,"AAAAAH9/+70=",0)</f>
        <v>0</v>
      </c>
      <c r="GI10" t="e">
        <f>AND('Ark1'!A279,"AAAAAH9/+74=")</f>
        <v>#VALUE!</v>
      </c>
      <c r="GJ10" t="e">
        <f>AND('Ark1'!B279,"AAAAAH9/+78=")</f>
        <v>#VALUE!</v>
      </c>
      <c r="GK10" t="e">
        <f>AND('Ark1'!C279,"AAAAAH9/+8A=")</f>
        <v>#VALUE!</v>
      </c>
      <c r="GL10" t="e">
        <f>AND('Ark1'!D279,"AAAAAH9/+8E=")</f>
        <v>#VALUE!</v>
      </c>
      <c r="GM10" t="e">
        <f>AND('Ark1'!E279,"AAAAAH9/+8I=")</f>
        <v>#VALUE!</v>
      </c>
      <c r="GN10" t="e">
        <f>AND('Ark1'!F279,"AAAAAH9/+8M=")</f>
        <v>#VALUE!</v>
      </c>
      <c r="GO10" t="e">
        <f>AND('Ark1'!G279,"AAAAAH9/+8Q=")</f>
        <v>#VALUE!</v>
      </c>
      <c r="GP10" t="e">
        <f>AND('Ark1'!H279,"AAAAAH9/+8U=")</f>
        <v>#VALUE!</v>
      </c>
      <c r="GQ10">
        <f>IF('Ark1'!280:280,"AAAAAH9/+8Y=",0)</f>
        <v>0</v>
      </c>
      <c r="GR10" t="e">
        <f>AND('Ark1'!A280,"AAAAAH9/+8c=")</f>
        <v>#VALUE!</v>
      </c>
      <c r="GS10" t="e">
        <f>AND('Ark1'!B280,"AAAAAH9/+8g=")</f>
        <v>#VALUE!</v>
      </c>
      <c r="GT10" t="e">
        <f>AND('Ark1'!C280,"AAAAAH9/+8k=")</f>
        <v>#VALUE!</v>
      </c>
      <c r="GU10" t="e">
        <f>AND('Ark1'!D280,"AAAAAH9/+8o=")</f>
        <v>#VALUE!</v>
      </c>
      <c r="GV10" t="e">
        <f>AND('Ark1'!E280,"AAAAAH9/+8s=")</f>
        <v>#VALUE!</v>
      </c>
      <c r="GW10" t="e">
        <f>AND('Ark1'!F280,"AAAAAH9/+8w=")</f>
        <v>#VALUE!</v>
      </c>
      <c r="GX10" t="e">
        <f>AND('Ark1'!G280,"AAAAAH9/+80=")</f>
        <v>#VALUE!</v>
      </c>
      <c r="GY10" t="e">
        <f>AND('Ark1'!H280,"AAAAAH9/+84=")</f>
        <v>#VALUE!</v>
      </c>
      <c r="GZ10">
        <f>IF('Ark1'!281:281,"AAAAAH9/+88=",0)</f>
        <v>0</v>
      </c>
      <c r="HA10" t="e">
        <f>AND('Ark1'!A281,"AAAAAH9/+9A=")</f>
        <v>#VALUE!</v>
      </c>
      <c r="HB10" t="e">
        <f>AND('Ark1'!B281,"AAAAAH9/+9E=")</f>
        <v>#VALUE!</v>
      </c>
      <c r="HC10" t="e">
        <f>AND('Ark1'!C281,"AAAAAH9/+9I=")</f>
        <v>#VALUE!</v>
      </c>
      <c r="HD10" t="e">
        <f>AND('Ark1'!D281,"AAAAAH9/+9M=")</f>
        <v>#VALUE!</v>
      </c>
      <c r="HE10" t="e">
        <f>AND('Ark1'!E281,"AAAAAH9/+9Q=")</f>
        <v>#VALUE!</v>
      </c>
      <c r="HF10" t="e">
        <f>AND('Ark1'!F281,"AAAAAH9/+9U=")</f>
        <v>#VALUE!</v>
      </c>
      <c r="HG10" t="e">
        <f>AND('Ark1'!G281,"AAAAAH9/+9Y=")</f>
        <v>#VALUE!</v>
      </c>
      <c r="HH10" t="e">
        <f>AND('Ark1'!H281,"AAAAAH9/+9c=")</f>
        <v>#VALUE!</v>
      </c>
      <c r="HI10">
        <f>IF('Ark1'!282:282,"AAAAAH9/+9g=",0)</f>
        <v>0</v>
      </c>
      <c r="HJ10" t="e">
        <f>AND('Ark1'!A282,"AAAAAH9/+9k=")</f>
        <v>#VALUE!</v>
      </c>
      <c r="HK10" t="e">
        <f>AND('Ark1'!B282,"AAAAAH9/+9o=")</f>
        <v>#VALUE!</v>
      </c>
      <c r="HL10" t="e">
        <f>AND('Ark1'!C282,"AAAAAH9/+9s=")</f>
        <v>#VALUE!</v>
      </c>
      <c r="HM10" t="e">
        <f>AND('Ark1'!D282,"AAAAAH9/+9w=")</f>
        <v>#VALUE!</v>
      </c>
      <c r="HN10" t="e">
        <f>AND('Ark1'!E282,"AAAAAH9/+90=")</f>
        <v>#VALUE!</v>
      </c>
      <c r="HO10" t="e">
        <f>AND('Ark1'!F282,"AAAAAH9/+94=")</f>
        <v>#VALUE!</v>
      </c>
      <c r="HP10" t="e">
        <f>AND('Ark1'!G282,"AAAAAH9/+98=")</f>
        <v>#VALUE!</v>
      </c>
      <c r="HQ10" t="e">
        <f>AND('Ark1'!H282,"AAAAAH9/++A=")</f>
        <v>#VALUE!</v>
      </c>
      <c r="HR10">
        <f>IF('Ark1'!283:283,"AAAAAH9/++E=",0)</f>
        <v>0</v>
      </c>
      <c r="HS10" t="e">
        <f>AND('Ark1'!A283,"AAAAAH9/++I=")</f>
        <v>#VALUE!</v>
      </c>
      <c r="HT10" t="e">
        <f>AND('Ark1'!B283,"AAAAAH9/++M=")</f>
        <v>#VALUE!</v>
      </c>
      <c r="HU10" t="e">
        <f>AND('Ark1'!C283,"AAAAAH9/++Q=")</f>
        <v>#VALUE!</v>
      </c>
      <c r="HV10" t="e">
        <f>AND('Ark1'!D283,"AAAAAH9/++U=")</f>
        <v>#VALUE!</v>
      </c>
      <c r="HW10" t="e">
        <f>AND('Ark1'!E283,"AAAAAH9/++Y=")</f>
        <v>#VALUE!</v>
      </c>
      <c r="HX10" t="e">
        <f>AND('Ark1'!F283,"AAAAAH9/++c=")</f>
        <v>#VALUE!</v>
      </c>
      <c r="HY10" t="e">
        <f>AND('Ark1'!G283,"AAAAAH9/++g=")</f>
        <v>#VALUE!</v>
      </c>
      <c r="HZ10" t="e">
        <f>AND('Ark1'!H283,"AAAAAH9/++k=")</f>
        <v>#VALUE!</v>
      </c>
      <c r="IA10">
        <f>IF('Ark1'!284:284,"AAAAAH9/++o=",0)</f>
        <v>0</v>
      </c>
      <c r="IB10" t="e">
        <f>AND('Ark1'!A284,"AAAAAH9/++s=")</f>
        <v>#VALUE!</v>
      </c>
      <c r="IC10" t="e">
        <f>AND('Ark1'!B284,"AAAAAH9/++w=")</f>
        <v>#VALUE!</v>
      </c>
      <c r="ID10" t="e">
        <f>AND('Ark1'!C284,"AAAAAH9/++0=")</f>
        <v>#VALUE!</v>
      </c>
      <c r="IE10" t="e">
        <f>AND('Ark1'!D284,"AAAAAH9/++4=")</f>
        <v>#VALUE!</v>
      </c>
      <c r="IF10" t="e">
        <f>AND('Ark1'!E284,"AAAAAH9/++8=")</f>
        <v>#VALUE!</v>
      </c>
      <c r="IG10" t="e">
        <f>AND('Ark1'!F284,"AAAAAH9/+/A=")</f>
        <v>#VALUE!</v>
      </c>
      <c r="IH10" t="e">
        <f>AND('Ark1'!G284,"AAAAAH9/+/E=")</f>
        <v>#VALUE!</v>
      </c>
      <c r="II10" t="e">
        <f>AND('Ark1'!H284,"AAAAAH9/+/I=")</f>
        <v>#VALUE!</v>
      </c>
      <c r="IJ10">
        <f>IF('Ark1'!285:285,"AAAAAH9/+/M=",0)</f>
        <v>0</v>
      </c>
      <c r="IK10" t="e">
        <f>AND('Ark1'!A285,"AAAAAH9/+/Q=")</f>
        <v>#VALUE!</v>
      </c>
      <c r="IL10" t="e">
        <f>AND('Ark1'!B285,"AAAAAH9/+/U=")</f>
        <v>#VALUE!</v>
      </c>
      <c r="IM10" t="e">
        <f>AND('Ark1'!C285,"AAAAAH9/+/Y=")</f>
        <v>#VALUE!</v>
      </c>
      <c r="IN10" t="e">
        <f>AND('Ark1'!D285,"AAAAAH9/+/c=")</f>
        <v>#VALUE!</v>
      </c>
      <c r="IO10" t="e">
        <f>AND('Ark1'!E285,"AAAAAH9/+/g=")</f>
        <v>#VALUE!</v>
      </c>
      <c r="IP10" t="e">
        <f>AND('Ark1'!F285,"AAAAAH9/+/k=")</f>
        <v>#VALUE!</v>
      </c>
      <c r="IQ10" t="e">
        <f>AND('Ark1'!G285,"AAAAAH9/+/o=")</f>
        <v>#VALUE!</v>
      </c>
      <c r="IR10" t="e">
        <f>AND('Ark1'!H285,"AAAAAH9/+/s=")</f>
        <v>#VALUE!</v>
      </c>
      <c r="IS10">
        <f>IF('Ark1'!286:286,"AAAAAH9/+/w=",0)</f>
        <v>0</v>
      </c>
      <c r="IT10" t="e">
        <f>AND('Ark1'!A286,"AAAAAH9/+/0=")</f>
        <v>#VALUE!</v>
      </c>
      <c r="IU10" t="e">
        <f>AND('Ark1'!B286,"AAAAAH9/+/4=")</f>
        <v>#VALUE!</v>
      </c>
      <c r="IV10" t="e">
        <f>AND('Ark1'!C286,"AAAAAH9/+/8=")</f>
        <v>#VALUE!</v>
      </c>
    </row>
    <row r="11" spans="1:256" x14ac:dyDescent="0.25">
      <c r="A11" t="e">
        <f>AND('Ark1'!D286,"AAAAAF/79wA=")</f>
        <v>#VALUE!</v>
      </c>
      <c r="B11" t="e">
        <f>AND('Ark1'!E286,"AAAAAF/79wE=")</f>
        <v>#VALUE!</v>
      </c>
      <c r="C11" t="e">
        <f>AND('Ark1'!F286,"AAAAAF/79wI=")</f>
        <v>#VALUE!</v>
      </c>
      <c r="D11" t="e">
        <f>AND('Ark1'!G286,"AAAAAF/79wM=")</f>
        <v>#VALUE!</v>
      </c>
      <c r="E11" t="e">
        <f>AND('Ark1'!H286,"AAAAAF/79wQ=")</f>
        <v>#VALUE!</v>
      </c>
      <c r="F11">
        <f>IF('Ark1'!287:287,"AAAAAF/79wU=",0)</f>
        <v>0</v>
      </c>
      <c r="G11" t="e">
        <f>AND('Ark1'!A287,"AAAAAF/79wY=")</f>
        <v>#VALUE!</v>
      </c>
      <c r="H11" t="e">
        <f>AND('Ark1'!B287,"AAAAAF/79wc=")</f>
        <v>#VALUE!</v>
      </c>
      <c r="I11" t="e">
        <f>AND('Ark1'!C287,"AAAAAF/79wg=")</f>
        <v>#VALUE!</v>
      </c>
      <c r="J11" t="e">
        <f>AND('Ark1'!D287,"AAAAAF/79wk=")</f>
        <v>#VALUE!</v>
      </c>
      <c r="K11" t="e">
        <f>AND('Ark1'!E287,"AAAAAF/79wo=")</f>
        <v>#VALUE!</v>
      </c>
      <c r="L11" t="e">
        <f>AND('Ark1'!F287,"AAAAAF/79ws=")</f>
        <v>#VALUE!</v>
      </c>
      <c r="M11" t="e">
        <f>AND('Ark1'!G287,"AAAAAF/79ww=")</f>
        <v>#VALUE!</v>
      </c>
      <c r="N11" t="e">
        <f>AND('Ark1'!H287,"AAAAAF/79w0=")</f>
        <v>#VALUE!</v>
      </c>
      <c r="O11">
        <f>IF('Ark1'!288:288,"AAAAAF/79w4=",0)</f>
        <v>0</v>
      </c>
      <c r="P11" t="e">
        <f>AND('Ark1'!A288,"AAAAAF/79w8=")</f>
        <v>#VALUE!</v>
      </c>
      <c r="Q11" t="e">
        <f>AND('Ark1'!B288,"AAAAAF/79xA=")</f>
        <v>#VALUE!</v>
      </c>
      <c r="R11" t="e">
        <f>AND('Ark1'!C288,"AAAAAF/79xE=")</f>
        <v>#VALUE!</v>
      </c>
      <c r="S11" t="e">
        <f>AND('Ark1'!D288,"AAAAAF/79xI=")</f>
        <v>#VALUE!</v>
      </c>
      <c r="T11" t="e">
        <f>AND('Ark1'!E288,"AAAAAF/79xM=")</f>
        <v>#VALUE!</v>
      </c>
      <c r="U11" t="e">
        <f>AND('Ark1'!F288,"AAAAAF/79xQ=")</f>
        <v>#VALUE!</v>
      </c>
      <c r="V11" t="e">
        <f>AND('Ark1'!G288,"AAAAAF/79xU=")</f>
        <v>#VALUE!</v>
      </c>
      <c r="W11" t="e">
        <f>AND('Ark1'!H288,"AAAAAF/79xY=")</f>
        <v>#VALUE!</v>
      </c>
      <c r="X11">
        <f>IF('Ark1'!289:289,"AAAAAF/79xc=",0)</f>
        <v>0</v>
      </c>
      <c r="Y11" t="e">
        <f>AND('Ark1'!A289,"AAAAAF/79xg=")</f>
        <v>#VALUE!</v>
      </c>
      <c r="Z11" t="e">
        <f>AND('Ark1'!B289,"AAAAAF/79xk=")</f>
        <v>#VALUE!</v>
      </c>
      <c r="AA11" t="e">
        <f>AND('Ark1'!C289,"AAAAAF/79xo=")</f>
        <v>#VALUE!</v>
      </c>
      <c r="AB11" t="e">
        <f>AND('Ark1'!D289,"AAAAAF/79xs=")</f>
        <v>#VALUE!</v>
      </c>
      <c r="AC11" t="e">
        <f>AND('Ark1'!E289,"AAAAAF/79xw=")</f>
        <v>#VALUE!</v>
      </c>
      <c r="AD11" t="e">
        <f>AND('Ark1'!F289,"AAAAAF/79x0=")</f>
        <v>#VALUE!</v>
      </c>
      <c r="AE11" t="e">
        <f>AND('Ark1'!G289,"AAAAAF/79x4=")</f>
        <v>#VALUE!</v>
      </c>
      <c r="AF11" t="e">
        <f>AND('Ark1'!H289,"AAAAAF/79x8=")</f>
        <v>#VALUE!</v>
      </c>
      <c r="AG11">
        <f>IF('Ark1'!290:290,"AAAAAF/79yA=",0)</f>
        <v>0</v>
      </c>
      <c r="AH11" t="e">
        <f>AND('Ark1'!A290,"AAAAAF/79yE=")</f>
        <v>#VALUE!</v>
      </c>
      <c r="AI11" t="e">
        <f>AND('Ark1'!B290,"AAAAAF/79yI=")</f>
        <v>#VALUE!</v>
      </c>
      <c r="AJ11" t="e">
        <f>AND('Ark1'!C290,"AAAAAF/79yM=")</f>
        <v>#VALUE!</v>
      </c>
      <c r="AK11" t="e">
        <f>AND('Ark1'!D290,"AAAAAF/79yQ=")</f>
        <v>#VALUE!</v>
      </c>
      <c r="AL11" t="e">
        <f>AND('Ark1'!E290,"AAAAAF/79yU=")</f>
        <v>#VALUE!</v>
      </c>
      <c r="AM11" t="e">
        <f>AND('Ark1'!F290,"AAAAAF/79yY=")</f>
        <v>#VALUE!</v>
      </c>
      <c r="AN11" t="e">
        <f>AND('Ark1'!G290,"AAAAAF/79yc=")</f>
        <v>#VALUE!</v>
      </c>
      <c r="AO11" t="e">
        <f>AND('Ark1'!H290,"AAAAAF/79yg=")</f>
        <v>#VALUE!</v>
      </c>
      <c r="AP11">
        <f>IF('Ark1'!291:291,"AAAAAF/79yk=",0)</f>
        <v>0</v>
      </c>
      <c r="AQ11" t="e">
        <f>AND('Ark1'!A291,"AAAAAF/79yo=")</f>
        <v>#VALUE!</v>
      </c>
      <c r="AR11" t="e">
        <f>AND('Ark1'!B291,"AAAAAF/79ys=")</f>
        <v>#VALUE!</v>
      </c>
      <c r="AS11" t="e">
        <f>AND('Ark1'!C291,"AAAAAF/79yw=")</f>
        <v>#VALUE!</v>
      </c>
      <c r="AT11" t="e">
        <f>AND('Ark1'!D291,"AAAAAF/79y0=")</f>
        <v>#VALUE!</v>
      </c>
      <c r="AU11" t="e">
        <f>AND('Ark1'!E291,"AAAAAF/79y4=")</f>
        <v>#VALUE!</v>
      </c>
      <c r="AV11" t="e">
        <f>AND('Ark1'!F291,"AAAAAF/79y8=")</f>
        <v>#VALUE!</v>
      </c>
      <c r="AW11" t="e">
        <f>AND('Ark1'!G291,"AAAAAF/79zA=")</f>
        <v>#VALUE!</v>
      </c>
      <c r="AX11" t="e">
        <f>AND('Ark1'!H291,"AAAAAF/79zE=")</f>
        <v>#VALUE!</v>
      </c>
      <c r="AY11">
        <f>IF('Ark1'!292:292,"AAAAAF/79zI=",0)</f>
        <v>0</v>
      </c>
      <c r="AZ11" t="e">
        <f>AND('Ark1'!A292,"AAAAAF/79zM=")</f>
        <v>#VALUE!</v>
      </c>
      <c r="BA11" t="e">
        <f>AND('Ark1'!B292,"AAAAAF/79zQ=")</f>
        <v>#VALUE!</v>
      </c>
      <c r="BB11" t="e">
        <f>AND('Ark1'!C292,"AAAAAF/79zU=")</f>
        <v>#VALUE!</v>
      </c>
      <c r="BC11" t="e">
        <f>AND('Ark1'!D292,"AAAAAF/79zY=")</f>
        <v>#VALUE!</v>
      </c>
      <c r="BD11" t="e">
        <f>AND('Ark1'!E292,"AAAAAF/79zc=")</f>
        <v>#VALUE!</v>
      </c>
      <c r="BE11" t="e">
        <f>AND('Ark1'!F292,"AAAAAF/79zg=")</f>
        <v>#VALUE!</v>
      </c>
      <c r="BF11" t="e">
        <f>AND('Ark1'!G292,"AAAAAF/79zk=")</f>
        <v>#VALUE!</v>
      </c>
      <c r="BG11" t="e">
        <f>AND('Ark1'!H292,"AAAAAF/79zo=")</f>
        <v>#VALUE!</v>
      </c>
      <c r="BH11">
        <f>IF('Ark1'!293:293,"AAAAAF/79zs=",0)</f>
        <v>0</v>
      </c>
      <c r="BI11" t="e">
        <f>AND('Ark1'!A293,"AAAAAF/79zw=")</f>
        <v>#VALUE!</v>
      </c>
      <c r="BJ11" t="e">
        <f>AND('Ark1'!B293,"AAAAAF/79z0=")</f>
        <v>#VALUE!</v>
      </c>
      <c r="BK11" t="e">
        <f>AND('Ark1'!C293,"AAAAAF/79z4=")</f>
        <v>#VALUE!</v>
      </c>
      <c r="BL11" t="e">
        <f>AND('Ark1'!D293,"AAAAAF/79z8=")</f>
        <v>#VALUE!</v>
      </c>
      <c r="BM11" t="e">
        <f>AND('Ark1'!E293,"AAAAAF/790A=")</f>
        <v>#VALUE!</v>
      </c>
      <c r="BN11" t="e">
        <f>AND('Ark1'!F293,"AAAAAF/790E=")</f>
        <v>#VALUE!</v>
      </c>
      <c r="BO11" t="e">
        <f>AND('Ark1'!G293,"AAAAAF/790I=")</f>
        <v>#VALUE!</v>
      </c>
      <c r="BP11" t="e">
        <f>AND('Ark1'!H293,"AAAAAF/790M=")</f>
        <v>#VALUE!</v>
      </c>
      <c r="BQ11">
        <f>IF('Ark1'!294:294,"AAAAAF/790Q=",0)</f>
        <v>0</v>
      </c>
      <c r="BR11" t="e">
        <f>AND('Ark1'!A294,"AAAAAF/790U=")</f>
        <v>#VALUE!</v>
      </c>
      <c r="BS11" t="e">
        <f>AND('Ark1'!B294,"AAAAAF/790Y=")</f>
        <v>#VALUE!</v>
      </c>
      <c r="BT11" t="e">
        <f>AND('Ark1'!C294,"AAAAAF/790c=")</f>
        <v>#VALUE!</v>
      </c>
      <c r="BU11" t="e">
        <f>AND('Ark1'!D294,"AAAAAF/790g=")</f>
        <v>#VALUE!</v>
      </c>
      <c r="BV11" t="e">
        <f>AND('Ark1'!E294,"AAAAAF/790k=")</f>
        <v>#VALUE!</v>
      </c>
      <c r="BW11" t="e">
        <f>AND('Ark1'!F294,"AAAAAF/790o=")</f>
        <v>#VALUE!</v>
      </c>
      <c r="BX11" t="e">
        <f>AND('Ark1'!G294,"AAAAAF/790s=")</f>
        <v>#VALUE!</v>
      </c>
      <c r="BY11" t="e">
        <f>AND('Ark1'!H294,"AAAAAF/790w=")</f>
        <v>#VALUE!</v>
      </c>
      <c r="BZ11">
        <f>IF('Ark1'!295:295,"AAAAAF/7900=",0)</f>
        <v>0</v>
      </c>
      <c r="CA11" t="e">
        <f>AND('Ark1'!A295,"AAAAAF/7904=")</f>
        <v>#VALUE!</v>
      </c>
      <c r="CB11" t="e">
        <f>AND('Ark1'!B295,"AAAAAF/7908=")</f>
        <v>#VALUE!</v>
      </c>
      <c r="CC11" t="e">
        <f>AND('Ark1'!C295,"AAAAAF/791A=")</f>
        <v>#VALUE!</v>
      </c>
      <c r="CD11" t="e">
        <f>AND('Ark1'!D295,"AAAAAF/791E=")</f>
        <v>#VALUE!</v>
      </c>
      <c r="CE11" t="e">
        <f>AND('Ark1'!E295,"AAAAAF/791I=")</f>
        <v>#VALUE!</v>
      </c>
      <c r="CF11" t="e">
        <f>AND('Ark1'!F295,"AAAAAF/791M=")</f>
        <v>#VALUE!</v>
      </c>
      <c r="CG11" t="e">
        <f>AND('Ark1'!G295,"AAAAAF/791Q=")</f>
        <v>#VALUE!</v>
      </c>
      <c r="CH11" t="e">
        <f>AND('Ark1'!H295,"AAAAAF/791U=")</f>
        <v>#VALUE!</v>
      </c>
      <c r="CI11">
        <f>IF('Ark1'!296:296,"AAAAAF/791Y=",0)</f>
        <v>0</v>
      </c>
      <c r="CJ11" t="e">
        <f>AND('Ark1'!A296,"AAAAAF/791c=")</f>
        <v>#VALUE!</v>
      </c>
      <c r="CK11" t="e">
        <f>AND('Ark1'!B296,"AAAAAF/791g=")</f>
        <v>#VALUE!</v>
      </c>
      <c r="CL11" t="e">
        <f>AND('Ark1'!C296,"AAAAAF/791k=")</f>
        <v>#VALUE!</v>
      </c>
      <c r="CM11" t="e">
        <f>AND('Ark1'!D296,"AAAAAF/791o=")</f>
        <v>#VALUE!</v>
      </c>
      <c r="CN11" t="e">
        <f>AND('Ark1'!E296,"AAAAAF/791s=")</f>
        <v>#VALUE!</v>
      </c>
      <c r="CO11" t="e">
        <f>AND('Ark1'!F296,"AAAAAF/791w=")</f>
        <v>#VALUE!</v>
      </c>
      <c r="CP11" t="e">
        <f>AND('Ark1'!G296,"AAAAAF/7910=")</f>
        <v>#VALUE!</v>
      </c>
      <c r="CQ11" t="e">
        <f>AND('Ark1'!H296,"AAAAAF/7914=")</f>
        <v>#VALUE!</v>
      </c>
      <c r="CR11">
        <f>IF('Ark1'!297:297,"AAAAAF/7918=",0)</f>
        <v>0</v>
      </c>
      <c r="CS11" t="e">
        <f>AND('Ark1'!A297,"AAAAAF/792A=")</f>
        <v>#VALUE!</v>
      </c>
      <c r="CT11" t="e">
        <f>AND('Ark1'!B297,"AAAAAF/792E=")</f>
        <v>#VALUE!</v>
      </c>
      <c r="CU11" t="e">
        <f>AND('Ark1'!C297,"AAAAAF/792I=")</f>
        <v>#VALUE!</v>
      </c>
      <c r="CV11" t="e">
        <f>AND('Ark1'!D297,"AAAAAF/792M=")</f>
        <v>#VALUE!</v>
      </c>
      <c r="CW11" t="e">
        <f>AND('Ark1'!E297,"AAAAAF/792Q=")</f>
        <v>#VALUE!</v>
      </c>
      <c r="CX11" t="e">
        <f>AND('Ark1'!F297,"AAAAAF/792U=")</f>
        <v>#VALUE!</v>
      </c>
      <c r="CY11" t="e">
        <f>AND('Ark1'!G297,"AAAAAF/792Y=")</f>
        <v>#VALUE!</v>
      </c>
      <c r="CZ11" t="e">
        <f>AND('Ark1'!H297,"AAAAAF/792c=")</f>
        <v>#VALUE!</v>
      </c>
      <c r="DA11">
        <f>IF('Ark1'!298:298,"AAAAAF/792g=",0)</f>
        <v>0</v>
      </c>
      <c r="DB11" t="e">
        <f>AND('Ark1'!A298,"AAAAAF/792k=")</f>
        <v>#VALUE!</v>
      </c>
      <c r="DC11" t="e">
        <f>AND('Ark1'!B298,"AAAAAF/792o=")</f>
        <v>#VALUE!</v>
      </c>
      <c r="DD11" t="e">
        <f>AND('Ark1'!C298,"AAAAAF/792s=")</f>
        <v>#VALUE!</v>
      </c>
      <c r="DE11" t="e">
        <f>AND('Ark1'!D298,"AAAAAF/792w=")</f>
        <v>#VALUE!</v>
      </c>
      <c r="DF11" t="e">
        <f>AND('Ark1'!E298,"AAAAAF/7920=")</f>
        <v>#VALUE!</v>
      </c>
      <c r="DG11" t="e">
        <f>AND('Ark1'!F298,"AAAAAF/7924=")</f>
        <v>#VALUE!</v>
      </c>
      <c r="DH11" t="e">
        <f>AND('Ark1'!G298,"AAAAAF/7928=")</f>
        <v>#VALUE!</v>
      </c>
      <c r="DI11" t="e">
        <f>AND('Ark1'!H298,"AAAAAF/793A=")</f>
        <v>#VALUE!</v>
      </c>
      <c r="DJ11">
        <f>IF('Ark1'!299:299,"AAAAAF/793E=",0)</f>
        <v>0</v>
      </c>
      <c r="DK11" t="e">
        <f>AND('Ark1'!A299,"AAAAAF/793I=")</f>
        <v>#VALUE!</v>
      </c>
      <c r="DL11" t="e">
        <f>AND('Ark1'!B299,"AAAAAF/793M=")</f>
        <v>#VALUE!</v>
      </c>
      <c r="DM11" t="e">
        <f>AND('Ark1'!C299,"AAAAAF/793Q=")</f>
        <v>#VALUE!</v>
      </c>
      <c r="DN11" t="e">
        <f>AND('Ark1'!D299,"AAAAAF/793U=")</f>
        <v>#VALUE!</v>
      </c>
      <c r="DO11" t="e">
        <f>AND('Ark1'!E299,"AAAAAF/793Y=")</f>
        <v>#VALUE!</v>
      </c>
      <c r="DP11" t="e">
        <f>AND('Ark1'!F299,"AAAAAF/793c=")</f>
        <v>#VALUE!</v>
      </c>
      <c r="DQ11" t="e">
        <f>AND('Ark1'!G299,"AAAAAF/793g=")</f>
        <v>#VALUE!</v>
      </c>
      <c r="DR11" t="e">
        <f>AND('Ark1'!H299,"AAAAAF/793k=")</f>
        <v>#VALUE!</v>
      </c>
      <c r="DS11">
        <f>IF('Ark1'!300:300,"AAAAAF/793o=",0)</f>
        <v>0</v>
      </c>
      <c r="DT11" t="e">
        <f>AND('Ark1'!A300,"AAAAAF/793s=")</f>
        <v>#VALUE!</v>
      </c>
      <c r="DU11" t="e">
        <f>AND('Ark1'!B300,"AAAAAF/793w=")</f>
        <v>#VALUE!</v>
      </c>
      <c r="DV11" t="e">
        <f>AND('Ark1'!C300,"AAAAAF/7930=")</f>
        <v>#VALUE!</v>
      </c>
      <c r="DW11" t="e">
        <f>AND('Ark1'!D300,"AAAAAF/7934=")</f>
        <v>#VALUE!</v>
      </c>
      <c r="DX11" t="e">
        <f>AND('Ark1'!E300,"AAAAAF/7938=")</f>
        <v>#VALUE!</v>
      </c>
      <c r="DY11" t="e">
        <f>AND('Ark1'!F300,"AAAAAF/794A=")</f>
        <v>#VALUE!</v>
      </c>
      <c r="DZ11" t="e">
        <f>AND('Ark1'!G300,"AAAAAF/794E=")</f>
        <v>#VALUE!</v>
      </c>
      <c r="EA11" t="e">
        <f>AND('Ark1'!H300,"AAAAAF/794I=")</f>
        <v>#VALUE!</v>
      </c>
      <c r="EB11">
        <f>IF('Ark1'!301:301,"AAAAAF/794M=",0)</f>
        <v>0</v>
      </c>
      <c r="EC11" t="e">
        <f>AND('Ark1'!A301,"AAAAAF/794Q=")</f>
        <v>#VALUE!</v>
      </c>
      <c r="ED11" t="e">
        <f>AND('Ark1'!B301,"AAAAAF/794U=")</f>
        <v>#VALUE!</v>
      </c>
      <c r="EE11" t="e">
        <f>AND('Ark1'!C301,"AAAAAF/794Y=")</f>
        <v>#VALUE!</v>
      </c>
      <c r="EF11" t="e">
        <f>AND('Ark1'!D301,"AAAAAF/794c=")</f>
        <v>#VALUE!</v>
      </c>
      <c r="EG11" t="e">
        <f>AND('Ark1'!E301,"AAAAAF/794g=")</f>
        <v>#VALUE!</v>
      </c>
      <c r="EH11" t="e">
        <f>AND('Ark1'!F301,"AAAAAF/794k=")</f>
        <v>#VALUE!</v>
      </c>
      <c r="EI11" t="e">
        <f>AND('Ark1'!G301,"AAAAAF/794o=")</f>
        <v>#VALUE!</v>
      </c>
      <c r="EJ11" t="e">
        <f>AND('Ark1'!H301,"AAAAAF/794s=")</f>
        <v>#VALUE!</v>
      </c>
      <c r="EK11">
        <f>IF('Ark1'!302:302,"AAAAAF/794w=",0)</f>
        <v>0</v>
      </c>
      <c r="EL11" t="e">
        <f>AND('Ark1'!A302,"AAAAAF/7940=")</f>
        <v>#VALUE!</v>
      </c>
      <c r="EM11" t="e">
        <f>AND('Ark1'!B302,"AAAAAF/7944=")</f>
        <v>#VALUE!</v>
      </c>
      <c r="EN11" t="e">
        <f>AND('Ark1'!C302,"AAAAAF/7948=")</f>
        <v>#VALUE!</v>
      </c>
      <c r="EO11" t="e">
        <f>AND('Ark1'!D302,"AAAAAF/795A=")</f>
        <v>#VALUE!</v>
      </c>
      <c r="EP11" t="e">
        <f>AND('Ark1'!E302,"AAAAAF/795E=")</f>
        <v>#VALUE!</v>
      </c>
      <c r="EQ11" t="e">
        <f>AND('Ark1'!F302,"AAAAAF/795I=")</f>
        <v>#VALUE!</v>
      </c>
      <c r="ER11" t="e">
        <f>AND('Ark1'!G302,"AAAAAF/795M=")</f>
        <v>#VALUE!</v>
      </c>
      <c r="ES11" t="e">
        <f>AND('Ark1'!H302,"AAAAAF/795Q=")</f>
        <v>#VALUE!</v>
      </c>
      <c r="ET11">
        <f>IF('Ark1'!303:303,"AAAAAF/795U=",0)</f>
        <v>0</v>
      </c>
      <c r="EU11" t="e">
        <f>AND('Ark1'!A303,"AAAAAF/795Y=")</f>
        <v>#VALUE!</v>
      </c>
      <c r="EV11" t="e">
        <f>AND('Ark1'!B303,"AAAAAF/795c=")</f>
        <v>#VALUE!</v>
      </c>
      <c r="EW11" t="e">
        <f>AND('Ark1'!C303,"AAAAAF/795g=")</f>
        <v>#VALUE!</v>
      </c>
      <c r="EX11" t="e">
        <f>AND('Ark1'!D303,"AAAAAF/795k=")</f>
        <v>#VALUE!</v>
      </c>
      <c r="EY11" t="e">
        <f>AND('Ark1'!E303,"AAAAAF/795o=")</f>
        <v>#VALUE!</v>
      </c>
      <c r="EZ11" t="e">
        <f>AND('Ark1'!F303,"AAAAAF/795s=")</f>
        <v>#VALUE!</v>
      </c>
      <c r="FA11" t="e">
        <f>AND('Ark1'!G303,"AAAAAF/795w=")</f>
        <v>#VALUE!</v>
      </c>
      <c r="FB11" t="e">
        <f>AND('Ark1'!H303,"AAAAAF/7950=")</f>
        <v>#VALUE!</v>
      </c>
      <c r="FC11">
        <f>IF('Ark1'!304:304,"AAAAAF/7954=",0)</f>
        <v>0</v>
      </c>
      <c r="FD11" t="e">
        <f>AND('Ark1'!A304,"AAAAAF/7958=")</f>
        <v>#VALUE!</v>
      </c>
      <c r="FE11" t="e">
        <f>AND('Ark1'!B304,"AAAAAF/796A=")</f>
        <v>#VALUE!</v>
      </c>
      <c r="FF11" t="e">
        <f>AND('Ark1'!C304,"AAAAAF/796E=")</f>
        <v>#VALUE!</v>
      </c>
      <c r="FG11" t="e">
        <f>AND('Ark1'!D304,"AAAAAF/796I=")</f>
        <v>#VALUE!</v>
      </c>
      <c r="FH11" t="e">
        <f>AND('Ark1'!E304,"AAAAAF/796M=")</f>
        <v>#VALUE!</v>
      </c>
      <c r="FI11" t="e">
        <f>AND('Ark1'!F304,"AAAAAF/796Q=")</f>
        <v>#VALUE!</v>
      </c>
      <c r="FJ11" t="e">
        <f>AND('Ark1'!G304,"AAAAAF/796U=")</f>
        <v>#VALUE!</v>
      </c>
      <c r="FK11" t="e">
        <f>AND('Ark1'!H304,"AAAAAF/796Y=")</f>
        <v>#VALUE!</v>
      </c>
      <c r="FL11">
        <f>IF('Ark1'!305:305,"AAAAAF/796c=",0)</f>
        <v>0</v>
      </c>
      <c r="FM11" t="e">
        <f>AND('Ark1'!A305,"AAAAAF/796g=")</f>
        <v>#VALUE!</v>
      </c>
      <c r="FN11" t="e">
        <f>AND('Ark1'!B305,"AAAAAF/796k=")</f>
        <v>#VALUE!</v>
      </c>
      <c r="FO11" t="e">
        <f>AND('Ark1'!C305,"AAAAAF/796o=")</f>
        <v>#VALUE!</v>
      </c>
      <c r="FP11" t="e">
        <f>AND('Ark1'!D305,"AAAAAF/796s=")</f>
        <v>#VALUE!</v>
      </c>
      <c r="FQ11" t="e">
        <f>AND('Ark1'!E305,"AAAAAF/796w=")</f>
        <v>#VALUE!</v>
      </c>
      <c r="FR11" t="e">
        <f>AND('Ark1'!F305,"AAAAAF/7960=")</f>
        <v>#VALUE!</v>
      </c>
      <c r="FS11" t="e">
        <f>AND('Ark1'!G305,"AAAAAF/7964=")</f>
        <v>#VALUE!</v>
      </c>
      <c r="FT11" t="e">
        <f>AND('Ark1'!H305,"AAAAAF/7968=")</f>
        <v>#VALUE!</v>
      </c>
      <c r="FU11">
        <f>IF('Ark1'!306:306,"AAAAAF/797A=",0)</f>
        <v>0</v>
      </c>
      <c r="FV11" t="e">
        <f>AND('Ark1'!A306,"AAAAAF/797E=")</f>
        <v>#VALUE!</v>
      </c>
      <c r="FW11" t="e">
        <f>AND('Ark1'!B306,"AAAAAF/797I=")</f>
        <v>#VALUE!</v>
      </c>
      <c r="FX11" t="e">
        <f>AND('Ark1'!C306,"AAAAAF/797M=")</f>
        <v>#VALUE!</v>
      </c>
      <c r="FY11" t="e">
        <f>AND('Ark1'!D306,"AAAAAF/797Q=")</f>
        <v>#VALUE!</v>
      </c>
      <c r="FZ11" t="e">
        <f>AND('Ark1'!E306,"AAAAAF/797U=")</f>
        <v>#VALUE!</v>
      </c>
      <c r="GA11" t="e">
        <f>AND('Ark1'!F306,"AAAAAF/797Y=")</f>
        <v>#VALUE!</v>
      </c>
      <c r="GB11" t="e">
        <f>AND('Ark1'!G306,"AAAAAF/797c=")</f>
        <v>#VALUE!</v>
      </c>
      <c r="GC11" t="e">
        <f>AND('Ark1'!H306,"AAAAAF/797g=")</f>
        <v>#VALUE!</v>
      </c>
      <c r="GD11">
        <f>IF('Ark1'!307:307,"AAAAAF/797k=",0)</f>
        <v>0</v>
      </c>
      <c r="GE11" t="e">
        <f>AND('Ark1'!A307,"AAAAAF/797o=")</f>
        <v>#VALUE!</v>
      </c>
      <c r="GF11" t="e">
        <f>AND('Ark1'!B307,"AAAAAF/797s=")</f>
        <v>#VALUE!</v>
      </c>
      <c r="GG11" t="e">
        <f>AND('Ark1'!C307,"AAAAAF/797w=")</f>
        <v>#VALUE!</v>
      </c>
      <c r="GH11" t="e">
        <f>AND('Ark1'!D307,"AAAAAF/7970=")</f>
        <v>#VALUE!</v>
      </c>
      <c r="GI11" t="e">
        <f>AND('Ark1'!E307,"AAAAAF/7974=")</f>
        <v>#VALUE!</v>
      </c>
      <c r="GJ11" t="e">
        <f>AND('Ark1'!F307,"AAAAAF/7978=")</f>
        <v>#VALUE!</v>
      </c>
      <c r="GK11" t="e">
        <f>AND('Ark1'!G307,"AAAAAF/798A=")</f>
        <v>#VALUE!</v>
      </c>
      <c r="GL11" t="e">
        <f>AND('Ark1'!H307,"AAAAAF/798E=")</f>
        <v>#VALUE!</v>
      </c>
      <c r="GM11">
        <f>IF('Ark1'!308:308,"AAAAAF/798I=",0)</f>
        <v>0</v>
      </c>
      <c r="GN11" t="e">
        <f>AND('Ark1'!A308,"AAAAAF/798M=")</f>
        <v>#VALUE!</v>
      </c>
      <c r="GO11" t="e">
        <f>AND('Ark1'!B308,"AAAAAF/798Q=")</f>
        <v>#VALUE!</v>
      </c>
      <c r="GP11" t="e">
        <f>AND('Ark1'!C308,"AAAAAF/798U=")</f>
        <v>#VALUE!</v>
      </c>
      <c r="GQ11" t="e">
        <f>AND('Ark1'!D308,"AAAAAF/798Y=")</f>
        <v>#VALUE!</v>
      </c>
      <c r="GR11" t="e">
        <f>AND('Ark1'!E308,"AAAAAF/798c=")</f>
        <v>#VALUE!</v>
      </c>
      <c r="GS11" t="e">
        <f>AND('Ark1'!F308,"AAAAAF/798g=")</f>
        <v>#VALUE!</v>
      </c>
      <c r="GT11" t="e">
        <f>AND('Ark1'!G308,"AAAAAF/798k=")</f>
        <v>#VALUE!</v>
      </c>
      <c r="GU11" t="e">
        <f>AND('Ark1'!H308,"AAAAAF/798o=")</f>
        <v>#VALUE!</v>
      </c>
      <c r="GV11">
        <f>IF('Ark1'!309:309,"AAAAAF/798s=",0)</f>
        <v>0</v>
      </c>
      <c r="GW11" t="e">
        <f>AND('Ark1'!A309,"AAAAAF/798w=")</f>
        <v>#VALUE!</v>
      </c>
      <c r="GX11" t="e">
        <f>AND('Ark1'!B309,"AAAAAF/7980=")</f>
        <v>#VALUE!</v>
      </c>
      <c r="GY11" t="e">
        <f>AND('Ark1'!C309,"AAAAAF/7984=")</f>
        <v>#VALUE!</v>
      </c>
      <c r="GZ11" t="e">
        <f>AND('Ark1'!D309,"AAAAAF/7988=")</f>
        <v>#VALUE!</v>
      </c>
      <c r="HA11" t="e">
        <f>AND('Ark1'!E309,"AAAAAF/799A=")</f>
        <v>#VALUE!</v>
      </c>
      <c r="HB11" t="e">
        <f>AND('Ark1'!F309,"AAAAAF/799E=")</f>
        <v>#VALUE!</v>
      </c>
      <c r="HC11" t="e">
        <f>AND('Ark1'!G309,"AAAAAF/799I=")</f>
        <v>#VALUE!</v>
      </c>
      <c r="HD11" t="e">
        <f>AND('Ark1'!H309,"AAAAAF/799M=")</f>
        <v>#VALUE!</v>
      </c>
      <c r="HE11">
        <f>IF('Ark1'!310:310,"AAAAAF/799Q=",0)</f>
        <v>0</v>
      </c>
      <c r="HF11" t="e">
        <f>AND('Ark1'!A310,"AAAAAF/799U=")</f>
        <v>#VALUE!</v>
      </c>
      <c r="HG11" t="e">
        <f>AND('Ark1'!B310,"AAAAAF/799Y=")</f>
        <v>#VALUE!</v>
      </c>
      <c r="HH11" t="e">
        <f>AND('Ark1'!C310,"AAAAAF/799c=")</f>
        <v>#VALUE!</v>
      </c>
      <c r="HI11" t="e">
        <f>AND('Ark1'!D310,"AAAAAF/799g=")</f>
        <v>#VALUE!</v>
      </c>
      <c r="HJ11" t="e">
        <f>AND('Ark1'!E310,"AAAAAF/799k=")</f>
        <v>#VALUE!</v>
      </c>
      <c r="HK11" t="e">
        <f>AND('Ark1'!F310,"AAAAAF/799o=")</f>
        <v>#VALUE!</v>
      </c>
      <c r="HL11" t="e">
        <f>AND('Ark1'!G310,"AAAAAF/799s=")</f>
        <v>#VALUE!</v>
      </c>
      <c r="HM11" t="e">
        <f>AND('Ark1'!H310,"AAAAAF/799w=")</f>
        <v>#VALUE!</v>
      </c>
      <c r="HN11">
        <f>IF('Ark1'!311:311,"AAAAAF/7990=",0)</f>
        <v>0</v>
      </c>
      <c r="HO11" t="e">
        <f>AND('Ark1'!A311,"AAAAAF/7994=")</f>
        <v>#VALUE!</v>
      </c>
      <c r="HP11" t="e">
        <f>AND('Ark1'!B311,"AAAAAF/7998=")</f>
        <v>#VALUE!</v>
      </c>
      <c r="HQ11" t="e">
        <f>AND('Ark1'!C311,"AAAAAF/79+A=")</f>
        <v>#VALUE!</v>
      </c>
      <c r="HR11" t="e">
        <f>AND('Ark1'!D311,"AAAAAF/79+E=")</f>
        <v>#VALUE!</v>
      </c>
      <c r="HS11" t="e">
        <f>AND('Ark1'!E311,"AAAAAF/79+I=")</f>
        <v>#VALUE!</v>
      </c>
      <c r="HT11" t="e">
        <f>AND('Ark1'!F311,"AAAAAF/79+M=")</f>
        <v>#VALUE!</v>
      </c>
      <c r="HU11" t="e">
        <f>AND('Ark1'!G311,"AAAAAF/79+Q=")</f>
        <v>#VALUE!</v>
      </c>
      <c r="HV11" t="e">
        <f>AND('Ark1'!H311,"AAAAAF/79+U=")</f>
        <v>#VALUE!</v>
      </c>
      <c r="HW11">
        <f>IF('Ark1'!312:312,"AAAAAF/79+Y=",0)</f>
        <v>0</v>
      </c>
      <c r="HX11" t="e">
        <f>AND('Ark1'!A312,"AAAAAF/79+c=")</f>
        <v>#VALUE!</v>
      </c>
      <c r="HY11" t="e">
        <f>AND('Ark1'!B312,"AAAAAF/79+g=")</f>
        <v>#VALUE!</v>
      </c>
      <c r="HZ11" t="e">
        <f>AND('Ark1'!C312,"AAAAAF/79+k=")</f>
        <v>#VALUE!</v>
      </c>
      <c r="IA11" t="e">
        <f>AND('Ark1'!D312,"AAAAAF/79+o=")</f>
        <v>#VALUE!</v>
      </c>
      <c r="IB11" t="e">
        <f>AND('Ark1'!E312,"AAAAAF/79+s=")</f>
        <v>#VALUE!</v>
      </c>
      <c r="IC11" t="e">
        <f>AND('Ark1'!F312,"AAAAAF/79+w=")</f>
        <v>#VALUE!</v>
      </c>
      <c r="ID11" t="e">
        <f>AND('Ark1'!G312,"AAAAAF/79+0=")</f>
        <v>#VALUE!</v>
      </c>
      <c r="IE11" t="e">
        <f>AND('Ark1'!H312,"AAAAAF/79+4=")</f>
        <v>#VALUE!</v>
      </c>
      <c r="IF11">
        <f>IF('Ark1'!313:313,"AAAAAF/79+8=",0)</f>
        <v>0</v>
      </c>
      <c r="IG11" t="e">
        <f>AND('Ark1'!A313,"AAAAAF/79/A=")</f>
        <v>#VALUE!</v>
      </c>
      <c r="IH11" t="e">
        <f>AND('Ark1'!B313,"AAAAAF/79/E=")</f>
        <v>#VALUE!</v>
      </c>
      <c r="II11" t="e">
        <f>AND('Ark1'!C313,"AAAAAF/79/I=")</f>
        <v>#VALUE!</v>
      </c>
      <c r="IJ11" t="e">
        <f>AND('Ark1'!D313,"AAAAAF/79/M=")</f>
        <v>#VALUE!</v>
      </c>
      <c r="IK11" t="e">
        <f>AND('Ark1'!E313,"AAAAAF/79/Q=")</f>
        <v>#VALUE!</v>
      </c>
      <c r="IL11" t="e">
        <f>AND('Ark1'!F313,"AAAAAF/79/U=")</f>
        <v>#VALUE!</v>
      </c>
      <c r="IM11" t="e">
        <f>AND('Ark1'!G313,"AAAAAF/79/Y=")</f>
        <v>#VALUE!</v>
      </c>
      <c r="IN11" t="e">
        <f>AND('Ark1'!H313,"AAAAAF/79/c=")</f>
        <v>#VALUE!</v>
      </c>
      <c r="IO11">
        <f>IF('Ark1'!314:314,"AAAAAF/79/g=",0)</f>
        <v>0</v>
      </c>
      <c r="IP11" t="e">
        <f>AND('Ark1'!A314,"AAAAAF/79/k=")</f>
        <v>#VALUE!</v>
      </c>
      <c r="IQ11" t="e">
        <f>AND('Ark1'!B314,"AAAAAF/79/o=")</f>
        <v>#VALUE!</v>
      </c>
      <c r="IR11" t="e">
        <f>AND('Ark1'!C314,"AAAAAF/79/s=")</f>
        <v>#VALUE!</v>
      </c>
      <c r="IS11" t="e">
        <f>AND('Ark1'!D314,"AAAAAF/79/w=")</f>
        <v>#VALUE!</v>
      </c>
      <c r="IT11" t="e">
        <f>AND('Ark1'!E314,"AAAAAF/79/0=")</f>
        <v>#VALUE!</v>
      </c>
      <c r="IU11" t="e">
        <f>AND('Ark1'!F314,"AAAAAF/79/4=")</f>
        <v>#VALUE!</v>
      </c>
      <c r="IV11" t="e">
        <f>AND('Ark1'!G314,"AAAAAF/79/8=")</f>
        <v>#VALUE!</v>
      </c>
    </row>
    <row r="12" spans="1:256" x14ac:dyDescent="0.25">
      <c r="A12" t="e">
        <f>AND('Ark1'!H314,"AAAAAH5X3wA=")</f>
        <v>#VALUE!</v>
      </c>
      <c r="B12">
        <f>IF('Ark1'!315:315,"AAAAAH5X3wE=",0)</f>
        <v>0</v>
      </c>
      <c r="C12" t="e">
        <f>AND('Ark1'!A315,"AAAAAH5X3wI=")</f>
        <v>#VALUE!</v>
      </c>
      <c r="D12" t="e">
        <f>AND('Ark1'!B315,"AAAAAH5X3wM=")</f>
        <v>#VALUE!</v>
      </c>
      <c r="E12" t="e">
        <f>AND('Ark1'!C315,"AAAAAH5X3wQ=")</f>
        <v>#VALUE!</v>
      </c>
      <c r="F12" t="e">
        <f>AND('Ark1'!D315,"AAAAAH5X3wU=")</f>
        <v>#VALUE!</v>
      </c>
      <c r="G12" t="e">
        <f>AND('Ark1'!E315,"AAAAAH5X3wY=")</f>
        <v>#VALUE!</v>
      </c>
      <c r="H12" t="e">
        <f>AND('Ark1'!F315,"AAAAAH5X3wc=")</f>
        <v>#VALUE!</v>
      </c>
      <c r="I12" t="e">
        <f>AND('Ark1'!G315,"AAAAAH5X3wg=")</f>
        <v>#VALUE!</v>
      </c>
      <c r="J12" t="e">
        <f>AND('Ark1'!H315,"AAAAAH5X3wk=")</f>
        <v>#VALUE!</v>
      </c>
      <c r="K12">
        <f>IF('Ark1'!316:316,"AAAAAH5X3wo=",0)</f>
        <v>0</v>
      </c>
      <c r="L12" t="e">
        <f>AND('Ark1'!A316,"AAAAAH5X3ws=")</f>
        <v>#VALUE!</v>
      </c>
      <c r="M12" t="e">
        <f>AND('Ark1'!B316,"AAAAAH5X3ww=")</f>
        <v>#VALUE!</v>
      </c>
      <c r="N12" t="e">
        <f>AND('Ark1'!C316,"AAAAAH5X3w0=")</f>
        <v>#VALUE!</v>
      </c>
      <c r="O12" t="e">
        <f>AND('Ark1'!D316,"AAAAAH5X3w4=")</f>
        <v>#VALUE!</v>
      </c>
      <c r="P12" t="e">
        <f>AND('Ark1'!E316,"AAAAAH5X3w8=")</f>
        <v>#VALUE!</v>
      </c>
      <c r="Q12" t="e">
        <f>AND('Ark1'!F316,"AAAAAH5X3xA=")</f>
        <v>#VALUE!</v>
      </c>
      <c r="R12" t="e">
        <f>AND('Ark1'!G316,"AAAAAH5X3xE=")</f>
        <v>#VALUE!</v>
      </c>
      <c r="S12" t="e">
        <f>AND('Ark1'!H316,"AAAAAH5X3xI=")</f>
        <v>#VALUE!</v>
      </c>
      <c r="T12">
        <f>IF('Ark1'!317:317,"AAAAAH5X3xM=",0)</f>
        <v>0</v>
      </c>
      <c r="U12" t="e">
        <f>AND('Ark1'!A317,"AAAAAH5X3xQ=")</f>
        <v>#VALUE!</v>
      </c>
      <c r="V12" t="e">
        <f>AND('Ark1'!B317,"AAAAAH5X3xU=")</f>
        <v>#VALUE!</v>
      </c>
      <c r="W12" t="e">
        <f>AND('Ark1'!C317,"AAAAAH5X3xY=")</f>
        <v>#VALUE!</v>
      </c>
      <c r="X12" t="e">
        <f>AND('Ark1'!D317,"AAAAAH5X3xc=")</f>
        <v>#VALUE!</v>
      </c>
      <c r="Y12" t="e">
        <f>AND('Ark1'!E317,"AAAAAH5X3xg=")</f>
        <v>#VALUE!</v>
      </c>
      <c r="Z12" t="e">
        <f>AND('Ark1'!F317,"AAAAAH5X3xk=")</f>
        <v>#VALUE!</v>
      </c>
      <c r="AA12" t="e">
        <f>AND('Ark1'!G317,"AAAAAH5X3xo=")</f>
        <v>#VALUE!</v>
      </c>
      <c r="AB12" t="e">
        <f>AND('Ark1'!H317,"AAAAAH5X3xs=")</f>
        <v>#VALUE!</v>
      </c>
      <c r="AC12">
        <f>IF('Ark1'!318:318,"AAAAAH5X3xw=",0)</f>
        <v>0</v>
      </c>
      <c r="AD12" t="e">
        <f>AND('Ark1'!A318,"AAAAAH5X3x0=")</f>
        <v>#VALUE!</v>
      </c>
      <c r="AE12" t="e">
        <f>AND('Ark1'!B318,"AAAAAH5X3x4=")</f>
        <v>#VALUE!</v>
      </c>
      <c r="AF12" t="e">
        <f>AND('Ark1'!C318,"AAAAAH5X3x8=")</f>
        <v>#VALUE!</v>
      </c>
      <c r="AG12" t="e">
        <f>AND('Ark1'!D318,"AAAAAH5X3yA=")</f>
        <v>#VALUE!</v>
      </c>
      <c r="AH12" t="e">
        <f>AND('Ark1'!E318,"AAAAAH5X3yE=")</f>
        <v>#VALUE!</v>
      </c>
      <c r="AI12" t="e">
        <f>AND('Ark1'!F318,"AAAAAH5X3yI=")</f>
        <v>#VALUE!</v>
      </c>
      <c r="AJ12" t="e">
        <f>AND('Ark1'!G318,"AAAAAH5X3yM=")</f>
        <v>#VALUE!</v>
      </c>
      <c r="AK12" t="e">
        <f>AND('Ark1'!H318,"AAAAAH5X3yQ=")</f>
        <v>#VALUE!</v>
      </c>
      <c r="AL12">
        <f>IF('Ark1'!319:319,"AAAAAH5X3yU=",0)</f>
        <v>0</v>
      </c>
      <c r="AM12" t="e">
        <f>AND('Ark1'!A319,"AAAAAH5X3yY=")</f>
        <v>#VALUE!</v>
      </c>
      <c r="AN12" t="e">
        <f>AND('Ark1'!B319,"AAAAAH5X3yc=")</f>
        <v>#VALUE!</v>
      </c>
      <c r="AO12" t="e">
        <f>AND('Ark1'!C319,"AAAAAH5X3yg=")</f>
        <v>#VALUE!</v>
      </c>
      <c r="AP12" t="e">
        <f>AND('Ark1'!D319,"AAAAAH5X3yk=")</f>
        <v>#VALUE!</v>
      </c>
      <c r="AQ12" t="e">
        <f>AND('Ark1'!E319,"AAAAAH5X3yo=")</f>
        <v>#VALUE!</v>
      </c>
      <c r="AR12" t="e">
        <f>AND('Ark1'!F319,"AAAAAH5X3ys=")</f>
        <v>#VALUE!</v>
      </c>
      <c r="AS12" t="e">
        <f>AND('Ark1'!G319,"AAAAAH5X3yw=")</f>
        <v>#VALUE!</v>
      </c>
      <c r="AT12" t="e">
        <f>AND('Ark1'!H319,"AAAAAH5X3y0=")</f>
        <v>#VALUE!</v>
      </c>
      <c r="AU12">
        <f>IF('Ark1'!320:320,"AAAAAH5X3y4=",0)</f>
        <v>0</v>
      </c>
      <c r="AV12" t="e">
        <f>AND('Ark1'!A320,"AAAAAH5X3y8=")</f>
        <v>#VALUE!</v>
      </c>
      <c r="AW12" t="e">
        <f>AND('Ark1'!B320,"AAAAAH5X3zA=")</f>
        <v>#VALUE!</v>
      </c>
      <c r="AX12" t="e">
        <f>AND('Ark1'!C320,"AAAAAH5X3zE=")</f>
        <v>#VALUE!</v>
      </c>
      <c r="AY12" t="e">
        <f>AND('Ark1'!D320,"AAAAAH5X3zI=")</f>
        <v>#VALUE!</v>
      </c>
      <c r="AZ12" t="e">
        <f>AND('Ark1'!E320,"AAAAAH5X3zM=")</f>
        <v>#VALUE!</v>
      </c>
      <c r="BA12" t="e">
        <f>AND('Ark1'!F320,"AAAAAH5X3zQ=")</f>
        <v>#VALUE!</v>
      </c>
      <c r="BB12" t="e">
        <f>AND('Ark1'!G320,"AAAAAH5X3zU=")</f>
        <v>#VALUE!</v>
      </c>
      <c r="BC12" t="e">
        <f>AND('Ark1'!H320,"AAAAAH5X3zY=")</f>
        <v>#VALUE!</v>
      </c>
      <c r="BD12">
        <f>IF('Ark1'!321:321,"AAAAAH5X3zc=",0)</f>
        <v>0</v>
      </c>
      <c r="BE12" t="e">
        <f>AND('Ark1'!A321,"AAAAAH5X3zg=")</f>
        <v>#VALUE!</v>
      </c>
      <c r="BF12" t="e">
        <f>AND('Ark1'!B321,"AAAAAH5X3zk=")</f>
        <v>#VALUE!</v>
      </c>
      <c r="BG12" t="e">
        <f>AND('Ark1'!C321,"AAAAAH5X3zo=")</f>
        <v>#VALUE!</v>
      </c>
      <c r="BH12" t="e">
        <f>AND('Ark1'!D321,"AAAAAH5X3zs=")</f>
        <v>#VALUE!</v>
      </c>
      <c r="BI12" t="e">
        <f>AND('Ark1'!E321,"AAAAAH5X3zw=")</f>
        <v>#VALUE!</v>
      </c>
      <c r="BJ12" t="e">
        <f>AND('Ark1'!F321,"AAAAAH5X3z0=")</f>
        <v>#VALUE!</v>
      </c>
      <c r="BK12" t="e">
        <f>AND('Ark1'!G321,"AAAAAH5X3z4=")</f>
        <v>#VALUE!</v>
      </c>
      <c r="BL12" t="e">
        <f>AND('Ark1'!H321,"AAAAAH5X3z8=")</f>
        <v>#VALUE!</v>
      </c>
      <c r="BM12">
        <f>IF('Ark1'!322:322,"AAAAAH5X30A=",0)</f>
        <v>0</v>
      </c>
      <c r="BN12" t="e">
        <f>AND('Ark1'!A322,"AAAAAH5X30E=")</f>
        <v>#VALUE!</v>
      </c>
      <c r="BO12" t="e">
        <f>AND('Ark1'!B322,"AAAAAH5X30I=")</f>
        <v>#VALUE!</v>
      </c>
      <c r="BP12" t="e">
        <f>AND('Ark1'!C322,"AAAAAH5X30M=")</f>
        <v>#VALUE!</v>
      </c>
      <c r="BQ12" t="e">
        <f>AND('Ark1'!D322,"AAAAAH5X30Q=")</f>
        <v>#VALUE!</v>
      </c>
      <c r="BR12" t="e">
        <f>AND('Ark1'!E322,"AAAAAH5X30U=")</f>
        <v>#VALUE!</v>
      </c>
      <c r="BS12" t="e">
        <f>AND('Ark1'!F322,"AAAAAH5X30Y=")</f>
        <v>#VALUE!</v>
      </c>
      <c r="BT12" t="e">
        <f>AND('Ark1'!G322,"AAAAAH5X30c=")</f>
        <v>#VALUE!</v>
      </c>
      <c r="BU12" t="e">
        <f>AND('Ark1'!H322,"AAAAAH5X30g=")</f>
        <v>#VALUE!</v>
      </c>
      <c r="BV12">
        <f>IF('Ark1'!323:323,"AAAAAH5X30k=",0)</f>
        <v>0</v>
      </c>
      <c r="BW12" t="e">
        <f>AND('Ark1'!A323,"AAAAAH5X30o=")</f>
        <v>#VALUE!</v>
      </c>
      <c r="BX12" t="e">
        <f>AND('Ark1'!B323,"AAAAAH5X30s=")</f>
        <v>#VALUE!</v>
      </c>
      <c r="BY12" t="e">
        <f>AND('Ark1'!C323,"AAAAAH5X30w=")</f>
        <v>#VALUE!</v>
      </c>
      <c r="BZ12" t="e">
        <f>AND('Ark1'!D323,"AAAAAH5X300=")</f>
        <v>#VALUE!</v>
      </c>
      <c r="CA12" t="e">
        <f>AND('Ark1'!E323,"AAAAAH5X304=")</f>
        <v>#VALUE!</v>
      </c>
      <c r="CB12" t="e">
        <f>AND('Ark1'!F323,"AAAAAH5X308=")</f>
        <v>#VALUE!</v>
      </c>
      <c r="CC12" t="e">
        <f>AND('Ark1'!G323,"AAAAAH5X31A=")</f>
        <v>#VALUE!</v>
      </c>
      <c r="CD12" t="e">
        <f>AND('Ark1'!H323,"AAAAAH5X31E=")</f>
        <v>#VALUE!</v>
      </c>
      <c r="CE12">
        <f>IF('Ark1'!324:324,"AAAAAH5X31I=",0)</f>
        <v>0</v>
      </c>
      <c r="CF12" t="e">
        <f>AND('Ark1'!A324,"AAAAAH5X31M=")</f>
        <v>#VALUE!</v>
      </c>
      <c r="CG12" t="e">
        <f>AND('Ark1'!B324,"AAAAAH5X31Q=")</f>
        <v>#VALUE!</v>
      </c>
      <c r="CH12" t="e">
        <f>AND('Ark1'!C324,"AAAAAH5X31U=")</f>
        <v>#VALUE!</v>
      </c>
      <c r="CI12" t="e">
        <f>AND('Ark1'!D324,"AAAAAH5X31Y=")</f>
        <v>#VALUE!</v>
      </c>
      <c r="CJ12" t="e">
        <f>AND('Ark1'!E324,"AAAAAH5X31c=")</f>
        <v>#VALUE!</v>
      </c>
      <c r="CK12" t="e">
        <f>AND('Ark1'!F324,"AAAAAH5X31g=")</f>
        <v>#VALUE!</v>
      </c>
      <c r="CL12" t="e">
        <f>AND('Ark1'!G324,"AAAAAH5X31k=")</f>
        <v>#VALUE!</v>
      </c>
      <c r="CM12" t="e">
        <f>AND('Ark1'!H324,"AAAAAH5X31o=")</f>
        <v>#VALUE!</v>
      </c>
      <c r="CN12">
        <f>IF('Ark1'!325:325,"AAAAAH5X31s=",0)</f>
        <v>0</v>
      </c>
      <c r="CO12" t="e">
        <f>AND('Ark1'!A325,"AAAAAH5X31w=")</f>
        <v>#VALUE!</v>
      </c>
      <c r="CP12" t="e">
        <f>AND('Ark1'!B325,"AAAAAH5X310=")</f>
        <v>#VALUE!</v>
      </c>
      <c r="CQ12" t="e">
        <f>AND('Ark1'!C325,"AAAAAH5X314=")</f>
        <v>#VALUE!</v>
      </c>
      <c r="CR12" t="e">
        <f>AND('Ark1'!D325,"AAAAAH5X318=")</f>
        <v>#VALUE!</v>
      </c>
      <c r="CS12" t="e">
        <f>AND('Ark1'!E325,"AAAAAH5X32A=")</f>
        <v>#VALUE!</v>
      </c>
      <c r="CT12" t="e">
        <f>AND('Ark1'!F325,"AAAAAH5X32E=")</f>
        <v>#VALUE!</v>
      </c>
      <c r="CU12" t="e">
        <f>AND('Ark1'!G325,"AAAAAH5X32I=")</f>
        <v>#VALUE!</v>
      </c>
      <c r="CV12" t="e">
        <f>AND('Ark1'!H325,"AAAAAH5X32M=")</f>
        <v>#VALUE!</v>
      </c>
      <c r="CW12">
        <f>IF('Ark1'!326:326,"AAAAAH5X32Q=",0)</f>
        <v>0</v>
      </c>
      <c r="CX12" t="e">
        <f>AND('Ark1'!A326,"AAAAAH5X32U=")</f>
        <v>#VALUE!</v>
      </c>
      <c r="CY12" t="e">
        <f>AND('Ark1'!B326,"AAAAAH5X32Y=")</f>
        <v>#VALUE!</v>
      </c>
      <c r="CZ12" t="e">
        <f>AND('Ark1'!C326,"AAAAAH5X32c=")</f>
        <v>#VALUE!</v>
      </c>
      <c r="DA12" t="e">
        <f>AND('Ark1'!D326,"AAAAAH5X32g=")</f>
        <v>#VALUE!</v>
      </c>
      <c r="DB12" t="e">
        <f>AND('Ark1'!E326,"AAAAAH5X32k=")</f>
        <v>#VALUE!</v>
      </c>
      <c r="DC12" t="e">
        <f>AND('Ark1'!F326,"AAAAAH5X32o=")</f>
        <v>#VALUE!</v>
      </c>
      <c r="DD12" t="e">
        <f>AND('Ark1'!G326,"AAAAAH5X32s=")</f>
        <v>#VALUE!</v>
      </c>
      <c r="DE12" t="e">
        <f>AND('Ark1'!H326,"AAAAAH5X32w=")</f>
        <v>#VALUE!</v>
      </c>
      <c r="DF12">
        <f>IF('Ark1'!327:327,"AAAAAH5X320=",0)</f>
        <v>0</v>
      </c>
      <c r="DG12" t="e">
        <f>AND('Ark1'!A327,"AAAAAH5X324=")</f>
        <v>#VALUE!</v>
      </c>
      <c r="DH12" t="e">
        <f>AND('Ark1'!B327,"AAAAAH5X328=")</f>
        <v>#VALUE!</v>
      </c>
      <c r="DI12" t="e">
        <f>AND('Ark1'!C327,"AAAAAH5X33A=")</f>
        <v>#VALUE!</v>
      </c>
      <c r="DJ12" t="e">
        <f>AND('Ark1'!D327,"AAAAAH5X33E=")</f>
        <v>#VALUE!</v>
      </c>
      <c r="DK12" t="e">
        <f>AND('Ark1'!E327,"AAAAAH5X33I=")</f>
        <v>#VALUE!</v>
      </c>
      <c r="DL12" t="e">
        <f>AND('Ark1'!F327,"AAAAAH5X33M=")</f>
        <v>#VALUE!</v>
      </c>
      <c r="DM12" t="e">
        <f>AND('Ark1'!G327,"AAAAAH5X33Q=")</f>
        <v>#VALUE!</v>
      </c>
      <c r="DN12" t="e">
        <f>AND('Ark1'!H327,"AAAAAH5X33U=")</f>
        <v>#VALUE!</v>
      </c>
      <c r="DO12">
        <f>IF('Ark1'!328:328,"AAAAAH5X33Y=",0)</f>
        <v>0</v>
      </c>
      <c r="DP12" t="e">
        <f>AND('Ark1'!A328,"AAAAAH5X33c=")</f>
        <v>#VALUE!</v>
      </c>
      <c r="DQ12" t="e">
        <f>AND('Ark1'!B328,"AAAAAH5X33g=")</f>
        <v>#VALUE!</v>
      </c>
      <c r="DR12" t="e">
        <f>AND('Ark1'!C328,"AAAAAH5X33k=")</f>
        <v>#VALUE!</v>
      </c>
      <c r="DS12" t="e">
        <f>AND('Ark1'!D328,"AAAAAH5X33o=")</f>
        <v>#VALUE!</v>
      </c>
      <c r="DT12" t="e">
        <f>AND('Ark1'!E328,"AAAAAH5X33s=")</f>
        <v>#VALUE!</v>
      </c>
      <c r="DU12" t="e">
        <f>AND('Ark1'!F328,"AAAAAH5X33w=")</f>
        <v>#VALUE!</v>
      </c>
      <c r="DV12" t="e">
        <f>AND('Ark1'!G328,"AAAAAH5X330=")</f>
        <v>#VALUE!</v>
      </c>
      <c r="DW12" t="e">
        <f>AND('Ark1'!H328,"AAAAAH5X334=")</f>
        <v>#VALUE!</v>
      </c>
      <c r="DX12">
        <f>IF('Ark1'!329:329,"AAAAAH5X338=",0)</f>
        <v>0</v>
      </c>
      <c r="DY12" t="e">
        <f>AND('Ark1'!A329,"AAAAAH5X34A=")</f>
        <v>#VALUE!</v>
      </c>
      <c r="DZ12" t="e">
        <f>AND('Ark1'!B329,"AAAAAH5X34E=")</f>
        <v>#VALUE!</v>
      </c>
      <c r="EA12" t="e">
        <f>AND('Ark1'!C329,"AAAAAH5X34I=")</f>
        <v>#VALUE!</v>
      </c>
      <c r="EB12" t="e">
        <f>AND('Ark1'!D329,"AAAAAH5X34M=")</f>
        <v>#VALUE!</v>
      </c>
      <c r="EC12" t="e">
        <f>AND('Ark1'!E329,"AAAAAH5X34Q=")</f>
        <v>#VALUE!</v>
      </c>
      <c r="ED12" t="e">
        <f>AND('Ark1'!F329,"AAAAAH5X34U=")</f>
        <v>#VALUE!</v>
      </c>
      <c r="EE12" t="e">
        <f>AND('Ark1'!G329,"AAAAAH5X34Y=")</f>
        <v>#VALUE!</v>
      </c>
      <c r="EF12" t="e">
        <f>AND('Ark1'!H329,"AAAAAH5X34c=")</f>
        <v>#VALUE!</v>
      </c>
      <c r="EG12">
        <f>IF('Ark1'!330:330,"AAAAAH5X34g=",0)</f>
        <v>0</v>
      </c>
      <c r="EH12" t="e">
        <f>AND('Ark1'!A330,"AAAAAH5X34k=")</f>
        <v>#VALUE!</v>
      </c>
      <c r="EI12" t="e">
        <f>AND('Ark1'!B330,"AAAAAH5X34o=")</f>
        <v>#VALUE!</v>
      </c>
      <c r="EJ12" t="e">
        <f>AND('Ark1'!C330,"AAAAAH5X34s=")</f>
        <v>#VALUE!</v>
      </c>
      <c r="EK12" t="e">
        <f>AND('Ark1'!D330,"AAAAAH5X34w=")</f>
        <v>#VALUE!</v>
      </c>
      <c r="EL12" t="e">
        <f>AND('Ark1'!E330,"AAAAAH5X340=")</f>
        <v>#VALUE!</v>
      </c>
      <c r="EM12" t="e">
        <f>AND('Ark1'!F330,"AAAAAH5X344=")</f>
        <v>#VALUE!</v>
      </c>
      <c r="EN12" t="e">
        <f>AND('Ark1'!G330,"AAAAAH5X348=")</f>
        <v>#VALUE!</v>
      </c>
      <c r="EO12" t="e">
        <f>AND('Ark1'!H330,"AAAAAH5X35A=")</f>
        <v>#VALUE!</v>
      </c>
      <c r="EP12">
        <f>IF('Ark1'!331:331,"AAAAAH5X35E=",0)</f>
        <v>0</v>
      </c>
      <c r="EQ12" t="e">
        <f>AND('Ark1'!A331,"AAAAAH5X35I=")</f>
        <v>#VALUE!</v>
      </c>
      <c r="ER12" t="e">
        <f>AND('Ark1'!B331,"AAAAAH5X35M=")</f>
        <v>#VALUE!</v>
      </c>
      <c r="ES12" t="e">
        <f>AND('Ark1'!C331,"AAAAAH5X35Q=")</f>
        <v>#VALUE!</v>
      </c>
      <c r="ET12" t="e">
        <f>AND('Ark1'!D331,"AAAAAH5X35U=")</f>
        <v>#VALUE!</v>
      </c>
      <c r="EU12" t="e">
        <f>AND('Ark1'!E331,"AAAAAH5X35Y=")</f>
        <v>#VALUE!</v>
      </c>
      <c r="EV12" t="e">
        <f>AND('Ark1'!F331,"AAAAAH5X35c=")</f>
        <v>#VALUE!</v>
      </c>
      <c r="EW12" t="e">
        <f>AND('Ark1'!G331,"AAAAAH5X35g=")</f>
        <v>#VALUE!</v>
      </c>
      <c r="EX12" t="e">
        <f>AND('Ark1'!H331,"AAAAAH5X35k=")</f>
        <v>#VALUE!</v>
      </c>
      <c r="EY12">
        <f>IF('Ark1'!332:332,"AAAAAH5X35o=",0)</f>
        <v>0</v>
      </c>
      <c r="EZ12" t="e">
        <f>AND('Ark1'!A332,"AAAAAH5X35s=")</f>
        <v>#VALUE!</v>
      </c>
      <c r="FA12" t="e">
        <f>AND('Ark1'!B332,"AAAAAH5X35w=")</f>
        <v>#VALUE!</v>
      </c>
      <c r="FB12" t="e">
        <f>AND('Ark1'!C332,"AAAAAH5X350=")</f>
        <v>#VALUE!</v>
      </c>
      <c r="FC12" t="e">
        <f>AND('Ark1'!D332,"AAAAAH5X354=")</f>
        <v>#VALUE!</v>
      </c>
      <c r="FD12" t="e">
        <f>AND('Ark1'!E332,"AAAAAH5X358=")</f>
        <v>#VALUE!</v>
      </c>
      <c r="FE12" t="e">
        <f>AND('Ark1'!F332,"AAAAAH5X36A=")</f>
        <v>#VALUE!</v>
      </c>
      <c r="FF12" t="e">
        <f>AND('Ark1'!G332,"AAAAAH5X36E=")</f>
        <v>#VALUE!</v>
      </c>
      <c r="FG12" t="e">
        <f>AND('Ark1'!H332,"AAAAAH5X36I=")</f>
        <v>#VALUE!</v>
      </c>
      <c r="FH12">
        <f>IF('Ark1'!333:333,"AAAAAH5X36M=",0)</f>
        <v>0</v>
      </c>
      <c r="FI12" t="e">
        <f>AND('Ark1'!A333,"AAAAAH5X36Q=")</f>
        <v>#VALUE!</v>
      </c>
      <c r="FJ12" t="e">
        <f>AND('Ark1'!B333,"AAAAAH5X36U=")</f>
        <v>#VALUE!</v>
      </c>
      <c r="FK12" t="e">
        <f>AND('Ark1'!C333,"AAAAAH5X36Y=")</f>
        <v>#VALUE!</v>
      </c>
      <c r="FL12" t="e">
        <f>AND('Ark1'!D333,"AAAAAH5X36c=")</f>
        <v>#VALUE!</v>
      </c>
      <c r="FM12" t="e">
        <f>AND('Ark1'!E333,"AAAAAH5X36g=")</f>
        <v>#VALUE!</v>
      </c>
      <c r="FN12" t="e">
        <f>AND('Ark1'!F333,"AAAAAH5X36k=")</f>
        <v>#VALUE!</v>
      </c>
      <c r="FO12" t="e">
        <f>AND('Ark1'!G333,"AAAAAH5X36o=")</f>
        <v>#VALUE!</v>
      </c>
      <c r="FP12" t="e">
        <f>AND('Ark1'!H333,"AAAAAH5X36s=")</f>
        <v>#VALUE!</v>
      </c>
      <c r="FQ12">
        <f>IF('Ark1'!334:334,"AAAAAH5X36w=",0)</f>
        <v>0</v>
      </c>
      <c r="FR12" t="e">
        <f>AND('Ark1'!A334,"AAAAAH5X360=")</f>
        <v>#VALUE!</v>
      </c>
      <c r="FS12" t="e">
        <f>AND('Ark1'!B334,"AAAAAH5X364=")</f>
        <v>#VALUE!</v>
      </c>
      <c r="FT12" t="e">
        <f>AND('Ark1'!C334,"AAAAAH5X368=")</f>
        <v>#VALUE!</v>
      </c>
      <c r="FU12" t="e">
        <f>AND('Ark1'!D334,"AAAAAH5X37A=")</f>
        <v>#VALUE!</v>
      </c>
      <c r="FV12" t="e">
        <f>AND('Ark1'!E334,"AAAAAH5X37E=")</f>
        <v>#VALUE!</v>
      </c>
      <c r="FW12" t="e">
        <f>AND('Ark1'!F334,"AAAAAH5X37I=")</f>
        <v>#VALUE!</v>
      </c>
      <c r="FX12" t="e">
        <f>AND('Ark1'!G334,"AAAAAH5X37M=")</f>
        <v>#VALUE!</v>
      </c>
      <c r="FY12" t="e">
        <f>AND('Ark1'!H334,"AAAAAH5X37Q=")</f>
        <v>#VALUE!</v>
      </c>
      <c r="FZ12">
        <f>IF('Ark1'!335:335,"AAAAAH5X37U=",0)</f>
        <v>0</v>
      </c>
      <c r="GA12" t="e">
        <f>AND('Ark1'!A335,"AAAAAH5X37Y=")</f>
        <v>#VALUE!</v>
      </c>
      <c r="GB12" t="e">
        <f>AND('Ark1'!B335,"AAAAAH5X37c=")</f>
        <v>#VALUE!</v>
      </c>
      <c r="GC12" t="e">
        <f>AND('Ark1'!C335,"AAAAAH5X37g=")</f>
        <v>#VALUE!</v>
      </c>
      <c r="GD12" t="e">
        <f>AND('Ark1'!D335,"AAAAAH5X37k=")</f>
        <v>#VALUE!</v>
      </c>
      <c r="GE12" t="e">
        <f>AND('Ark1'!E335,"AAAAAH5X37o=")</f>
        <v>#VALUE!</v>
      </c>
      <c r="GF12" t="e">
        <f>AND('Ark1'!F335,"AAAAAH5X37s=")</f>
        <v>#VALUE!</v>
      </c>
      <c r="GG12" t="e">
        <f>AND('Ark1'!G335,"AAAAAH5X37w=")</f>
        <v>#VALUE!</v>
      </c>
      <c r="GH12" t="e">
        <f>AND('Ark1'!H335,"AAAAAH5X370=")</f>
        <v>#VALUE!</v>
      </c>
      <c r="GI12">
        <f>IF('Ark1'!336:336,"AAAAAH5X374=",0)</f>
        <v>0</v>
      </c>
      <c r="GJ12" t="e">
        <f>AND('Ark1'!A336,"AAAAAH5X378=")</f>
        <v>#VALUE!</v>
      </c>
      <c r="GK12" t="e">
        <f>AND('Ark1'!B336,"AAAAAH5X38A=")</f>
        <v>#VALUE!</v>
      </c>
      <c r="GL12" t="e">
        <f>AND('Ark1'!C336,"AAAAAH5X38E=")</f>
        <v>#VALUE!</v>
      </c>
      <c r="GM12" t="e">
        <f>AND('Ark1'!D336,"AAAAAH5X38I=")</f>
        <v>#VALUE!</v>
      </c>
      <c r="GN12" t="e">
        <f>AND('Ark1'!E336,"AAAAAH5X38M=")</f>
        <v>#VALUE!</v>
      </c>
      <c r="GO12" t="e">
        <f>AND('Ark1'!F336,"AAAAAH5X38Q=")</f>
        <v>#VALUE!</v>
      </c>
      <c r="GP12" t="e">
        <f>AND('Ark1'!G336,"AAAAAH5X38U=")</f>
        <v>#VALUE!</v>
      </c>
      <c r="GQ12" t="e">
        <f>AND('Ark1'!H336,"AAAAAH5X38Y=")</f>
        <v>#VALUE!</v>
      </c>
      <c r="GR12">
        <f>IF('Ark1'!337:337,"AAAAAH5X38c=",0)</f>
        <v>0</v>
      </c>
      <c r="GS12" t="e">
        <f>AND('Ark1'!A337,"AAAAAH5X38g=")</f>
        <v>#VALUE!</v>
      </c>
      <c r="GT12" t="e">
        <f>AND('Ark1'!B337,"AAAAAH5X38k=")</f>
        <v>#VALUE!</v>
      </c>
      <c r="GU12" t="e">
        <f>AND('Ark1'!C337,"AAAAAH5X38o=")</f>
        <v>#VALUE!</v>
      </c>
      <c r="GV12" t="e">
        <f>AND('Ark1'!D337,"AAAAAH5X38s=")</f>
        <v>#VALUE!</v>
      </c>
      <c r="GW12" t="e">
        <f>AND('Ark1'!E337,"AAAAAH5X38w=")</f>
        <v>#VALUE!</v>
      </c>
      <c r="GX12" t="e">
        <f>AND('Ark1'!F337,"AAAAAH5X380=")</f>
        <v>#VALUE!</v>
      </c>
      <c r="GY12" t="e">
        <f>AND('Ark1'!G337,"AAAAAH5X384=")</f>
        <v>#VALUE!</v>
      </c>
      <c r="GZ12" t="e">
        <f>AND('Ark1'!H337,"AAAAAH5X388=")</f>
        <v>#VALUE!</v>
      </c>
      <c r="HA12">
        <f>IF('Ark1'!338:338,"AAAAAH5X39A=",0)</f>
        <v>0</v>
      </c>
      <c r="HB12" t="e">
        <f>AND('Ark1'!A338,"AAAAAH5X39E=")</f>
        <v>#VALUE!</v>
      </c>
      <c r="HC12" t="e">
        <f>AND('Ark1'!B338,"AAAAAH5X39I=")</f>
        <v>#VALUE!</v>
      </c>
      <c r="HD12" t="e">
        <f>AND('Ark1'!C338,"AAAAAH5X39M=")</f>
        <v>#VALUE!</v>
      </c>
      <c r="HE12" t="e">
        <f>AND('Ark1'!D338,"AAAAAH5X39Q=")</f>
        <v>#VALUE!</v>
      </c>
      <c r="HF12" t="e">
        <f>AND('Ark1'!E338,"AAAAAH5X39U=")</f>
        <v>#VALUE!</v>
      </c>
      <c r="HG12" t="e">
        <f>AND('Ark1'!F338,"AAAAAH5X39Y=")</f>
        <v>#VALUE!</v>
      </c>
      <c r="HH12" t="e">
        <f>AND('Ark1'!G338,"AAAAAH5X39c=")</f>
        <v>#VALUE!</v>
      </c>
      <c r="HI12" t="e">
        <f>AND('Ark1'!H338,"AAAAAH5X39g=")</f>
        <v>#VALUE!</v>
      </c>
      <c r="HJ12">
        <f>IF('Ark1'!339:339,"AAAAAH5X39k=",0)</f>
        <v>0</v>
      </c>
      <c r="HK12" t="e">
        <f>AND('Ark1'!A339,"AAAAAH5X39o=")</f>
        <v>#VALUE!</v>
      </c>
      <c r="HL12" t="e">
        <f>AND('Ark1'!B339,"AAAAAH5X39s=")</f>
        <v>#VALUE!</v>
      </c>
      <c r="HM12" t="e">
        <f>AND('Ark1'!C339,"AAAAAH5X39w=")</f>
        <v>#VALUE!</v>
      </c>
      <c r="HN12" t="e">
        <f>AND('Ark1'!D339,"AAAAAH5X390=")</f>
        <v>#VALUE!</v>
      </c>
      <c r="HO12" t="e">
        <f>AND('Ark1'!E339,"AAAAAH5X394=")</f>
        <v>#VALUE!</v>
      </c>
      <c r="HP12" t="e">
        <f>AND('Ark1'!F339,"AAAAAH5X398=")</f>
        <v>#VALUE!</v>
      </c>
      <c r="HQ12" t="e">
        <f>AND('Ark1'!G339,"AAAAAH5X3+A=")</f>
        <v>#VALUE!</v>
      </c>
      <c r="HR12" t="e">
        <f>AND('Ark1'!H339,"AAAAAH5X3+E=")</f>
        <v>#VALUE!</v>
      </c>
      <c r="HS12">
        <f>IF('Ark1'!340:340,"AAAAAH5X3+I=",0)</f>
        <v>0</v>
      </c>
      <c r="HT12" t="e">
        <f>AND('Ark1'!A340,"AAAAAH5X3+M=")</f>
        <v>#VALUE!</v>
      </c>
      <c r="HU12" t="e">
        <f>AND('Ark1'!B340,"AAAAAH5X3+Q=")</f>
        <v>#VALUE!</v>
      </c>
      <c r="HV12" t="e">
        <f>AND('Ark1'!C340,"AAAAAH5X3+U=")</f>
        <v>#VALUE!</v>
      </c>
      <c r="HW12" t="e">
        <f>AND('Ark1'!D340,"AAAAAH5X3+Y=")</f>
        <v>#VALUE!</v>
      </c>
      <c r="HX12" t="e">
        <f>AND('Ark1'!E340,"AAAAAH5X3+c=")</f>
        <v>#VALUE!</v>
      </c>
      <c r="HY12" t="e">
        <f>AND('Ark1'!F340,"AAAAAH5X3+g=")</f>
        <v>#VALUE!</v>
      </c>
      <c r="HZ12" t="e">
        <f>AND('Ark1'!G340,"AAAAAH5X3+k=")</f>
        <v>#VALUE!</v>
      </c>
      <c r="IA12" t="e">
        <f>AND('Ark1'!H340,"AAAAAH5X3+o=")</f>
        <v>#VALUE!</v>
      </c>
      <c r="IB12">
        <f>IF('Ark1'!341:341,"AAAAAH5X3+s=",0)</f>
        <v>0</v>
      </c>
      <c r="IC12" t="e">
        <f>AND('Ark1'!A341,"AAAAAH5X3+w=")</f>
        <v>#VALUE!</v>
      </c>
      <c r="ID12" t="e">
        <f>AND('Ark1'!B341,"AAAAAH5X3+0=")</f>
        <v>#VALUE!</v>
      </c>
      <c r="IE12" t="e">
        <f>AND('Ark1'!C341,"AAAAAH5X3+4=")</f>
        <v>#VALUE!</v>
      </c>
      <c r="IF12" t="e">
        <f>AND('Ark1'!D341,"AAAAAH5X3+8=")</f>
        <v>#VALUE!</v>
      </c>
      <c r="IG12" t="e">
        <f>AND('Ark1'!E341,"AAAAAH5X3/A=")</f>
        <v>#VALUE!</v>
      </c>
      <c r="IH12" t="e">
        <f>AND('Ark1'!F341,"AAAAAH5X3/E=")</f>
        <v>#VALUE!</v>
      </c>
      <c r="II12" t="e">
        <f>AND('Ark1'!G341,"AAAAAH5X3/I=")</f>
        <v>#VALUE!</v>
      </c>
      <c r="IJ12" t="e">
        <f>AND('Ark1'!H341,"AAAAAH5X3/M=")</f>
        <v>#VALUE!</v>
      </c>
      <c r="IK12">
        <f>IF('Ark1'!342:342,"AAAAAH5X3/Q=",0)</f>
        <v>0</v>
      </c>
      <c r="IL12" t="e">
        <f>AND('Ark1'!A342,"AAAAAH5X3/U=")</f>
        <v>#VALUE!</v>
      </c>
      <c r="IM12" t="e">
        <f>AND('Ark1'!B342,"AAAAAH5X3/Y=")</f>
        <v>#VALUE!</v>
      </c>
      <c r="IN12" t="e">
        <f>AND('Ark1'!C342,"AAAAAH5X3/c=")</f>
        <v>#VALUE!</v>
      </c>
      <c r="IO12" t="e">
        <f>AND('Ark1'!D342,"AAAAAH5X3/g=")</f>
        <v>#VALUE!</v>
      </c>
      <c r="IP12" t="e">
        <f>AND('Ark1'!E342,"AAAAAH5X3/k=")</f>
        <v>#VALUE!</v>
      </c>
      <c r="IQ12" t="e">
        <f>AND('Ark1'!F342,"AAAAAH5X3/o=")</f>
        <v>#VALUE!</v>
      </c>
      <c r="IR12" t="e">
        <f>AND('Ark1'!G342,"AAAAAH5X3/s=")</f>
        <v>#VALUE!</v>
      </c>
      <c r="IS12" t="e">
        <f>AND('Ark1'!H342,"AAAAAH5X3/w=")</f>
        <v>#VALUE!</v>
      </c>
      <c r="IT12">
        <f>IF('Ark1'!343:343,"AAAAAH5X3/0=",0)</f>
        <v>0</v>
      </c>
      <c r="IU12" t="e">
        <f>AND('Ark1'!A343,"AAAAAH5X3/4=")</f>
        <v>#VALUE!</v>
      </c>
      <c r="IV12" t="e">
        <f>AND('Ark1'!B343,"AAAAAH5X3/8=")</f>
        <v>#VALUE!</v>
      </c>
    </row>
    <row r="13" spans="1:256" x14ac:dyDescent="0.25">
      <c r="A13" t="e">
        <f>AND('Ark1'!C343,"AAAAAH3vfAA=")</f>
        <v>#VALUE!</v>
      </c>
      <c r="B13" t="e">
        <f>AND('Ark1'!D343,"AAAAAH3vfAE=")</f>
        <v>#VALUE!</v>
      </c>
      <c r="C13" t="e">
        <f>AND('Ark1'!E343,"AAAAAH3vfAI=")</f>
        <v>#VALUE!</v>
      </c>
      <c r="D13" t="e">
        <f>AND('Ark1'!F343,"AAAAAH3vfAM=")</f>
        <v>#VALUE!</v>
      </c>
      <c r="E13" t="e">
        <f>AND('Ark1'!G343,"AAAAAH3vfAQ=")</f>
        <v>#VALUE!</v>
      </c>
      <c r="F13" t="e">
        <f>AND('Ark1'!H343,"AAAAAH3vfAU=")</f>
        <v>#VALUE!</v>
      </c>
      <c r="G13">
        <f>IF('Ark1'!344:344,"AAAAAH3vfAY=",0)</f>
        <v>0</v>
      </c>
      <c r="H13" t="e">
        <f>AND('Ark1'!A344,"AAAAAH3vfAc=")</f>
        <v>#VALUE!</v>
      </c>
      <c r="I13" t="e">
        <f>AND('Ark1'!B344,"AAAAAH3vfAg=")</f>
        <v>#VALUE!</v>
      </c>
      <c r="J13" t="e">
        <f>AND('Ark1'!C344,"AAAAAH3vfAk=")</f>
        <v>#VALUE!</v>
      </c>
      <c r="K13" t="e">
        <f>AND('Ark1'!D344,"AAAAAH3vfAo=")</f>
        <v>#VALUE!</v>
      </c>
      <c r="L13" t="e">
        <f>AND('Ark1'!E344,"AAAAAH3vfAs=")</f>
        <v>#VALUE!</v>
      </c>
      <c r="M13" t="e">
        <f>AND('Ark1'!F344,"AAAAAH3vfAw=")</f>
        <v>#VALUE!</v>
      </c>
      <c r="N13" t="e">
        <f>AND('Ark1'!G344,"AAAAAH3vfA0=")</f>
        <v>#VALUE!</v>
      </c>
      <c r="O13" t="e">
        <f>AND('Ark1'!H344,"AAAAAH3vfA4=")</f>
        <v>#VALUE!</v>
      </c>
      <c r="P13">
        <f>IF('Ark1'!345:345,"AAAAAH3vfA8=",0)</f>
        <v>0</v>
      </c>
      <c r="Q13" t="e">
        <f>AND('Ark1'!A345,"AAAAAH3vfBA=")</f>
        <v>#VALUE!</v>
      </c>
      <c r="R13" t="e">
        <f>AND('Ark1'!B345,"AAAAAH3vfBE=")</f>
        <v>#VALUE!</v>
      </c>
      <c r="S13" t="e">
        <f>AND('Ark1'!C345,"AAAAAH3vfBI=")</f>
        <v>#VALUE!</v>
      </c>
      <c r="T13" t="e">
        <f>AND('Ark1'!D345,"AAAAAH3vfBM=")</f>
        <v>#VALUE!</v>
      </c>
      <c r="U13" t="e">
        <f>AND('Ark1'!E345,"AAAAAH3vfBQ=")</f>
        <v>#VALUE!</v>
      </c>
      <c r="V13" t="e">
        <f>AND('Ark1'!F345,"AAAAAH3vfBU=")</f>
        <v>#VALUE!</v>
      </c>
      <c r="W13" t="e">
        <f>AND('Ark1'!G345,"AAAAAH3vfBY=")</f>
        <v>#VALUE!</v>
      </c>
      <c r="X13" t="e">
        <f>AND('Ark1'!H345,"AAAAAH3vfBc=")</f>
        <v>#VALUE!</v>
      </c>
      <c r="Y13">
        <f>IF('Ark1'!346:346,"AAAAAH3vfBg=",0)</f>
        <v>0</v>
      </c>
      <c r="Z13" t="e">
        <f>AND('Ark1'!A346,"AAAAAH3vfBk=")</f>
        <v>#VALUE!</v>
      </c>
      <c r="AA13" t="e">
        <f>AND('Ark1'!B346,"AAAAAH3vfBo=")</f>
        <v>#VALUE!</v>
      </c>
      <c r="AB13" t="e">
        <f>AND('Ark1'!C346,"AAAAAH3vfBs=")</f>
        <v>#VALUE!</v>
      </c>
      <c r="AC13" t="e">
        <f>AND('Ark1'!D346,"AAAAAH3vfBw=")</f>
        <v>#VALUE!</v>
      </c>
      <c r="AD13" t="e">
        <f>AND('Ark1'!E346,"AAAAAH3vfB0=")</f>
        <v>#VALUE!</v>
      </c>
      <c r="AE13" t="e">
        <f>AND('Ark1'!F346,"AAAAAH3vfB4=")</f>
        <v>#VALUE!</v>
      </c>
      <c r="AF13" t="e">
        <f>AND('Ark1'!G346,"AAAAAH3vfB8=")</f>
        <v>#VALUE!</v>
      </c>
      <c r="AG13" t="e">
        <f>AND('Ark1'!H346,"AAAAAH3vfCA=")</f>
        <v>#VALUE!</v>
      </c>
      <c r="AH13">
        <f>IF('Ark1'!347:347,"AAAAAH3vfCE=",0)</f>
        <v>0</v>
      </c>
      <c r="AI13" t="e">
        <f>AND('Ark1'!A347,"AAAAAH3vfCI=")</f>
        <v>#VALUE!</v>
      </c>
      <c r="AJ13" t="e">
        <f>AND('Ark1'!B347,"AAAAAH3vfCM=")</f>
        <v>#VALUE!</v>
      </c>
      <c r="AK13" t="e">
        <f>AND('Ark1'!C347,"AAAAAH3vfCQ=")</f>
        <v>#VALUE!</v>
      </c>
      <c r="AL13" t="e">
        <f>AND('Ark1'!D347,"AAAAAH3vfCU=")</f>
        <v>#VALUE!</v>
      </c>
      <c r="AM13" t="e">
        <f>AND('Ark1'!E347,"AAAAAH3vfCY=")</f>
        <v>#VALUE!</v>
      </c>
      <c r="AN13" t="e">
        <f>AND('Ark1'!F347,"AAAAAH3vfCc=")</f>
        <v>#VALUE!</v>
      </c>
      <c r="AO13" t="e">
        <f>AND('Ark1'!G347,"AAAAAH3vfCg=")</f>
        <v>#VALUE!</v>
      </c>
      <c r="AP13" t="e">
        <f>AND('Ark1'!H347,"AAAAAH3vfCk=")</f>
        <v>#VALUE!</v>
      </c>
      <c r="AQ13">
        <f>IF('Ark1'!348:348,"AAAAAH3vfCo=",0)</f>
        <v>0</v>
      </c>
      <c r="AR13" t="e">
        <f>AND('Ark1'!A348,"AAAAAH3vfCs=")</f>
        <v>#VALUE!</v>
      </c>
      <c r="AS13" t="e">
        <f>AND('Ark1'!B348,"AAAAAH3vfCw=")</f>
        <v>#VALUE!</v>
      </c>
      <c r="AT13" t="e">
        <f>AND('Ark1'!C348,"AAAAAH3vfC0=")</f>
        <v>#VALUE!</v>
      </c>
      <c r="AU13" t="e">
        <f>AND('Ark1'!D348,"AAAAAH3vfC4=")</f>
        <v>#VALUE!</v>
      </c>
      <c r="AV13" t="e">
        <f>AND('Ark1'!E348,"AAAAAH3vfC8=")</f>
        <v>#VALUE!</v>
      </c>
      <c r="AW13" t="e">
        <f>AND('Ark1'!F348,"AAAAAH3vfDA=")</f>
        <v>#VALUE!</v>
      </c>
      <c r="AX13" t="e">
        <f>AND('Ark1'!G348,"AAAAAH3vfDE=")</f>
        <v>#VALUE!</v>
      </c>
      <c r="AY13" t="e">
        <f>AND('Ark1'!H348,"AAAAAH3vfDI=")</f>
        <v>#VALUE!</v>
      </c>
      <c r="AZ13">
        <f>IF('Ark1'!349:349,"AAAAAH3vfDM=",0)</f>
        <v>0</v>
      </c>
      <c r="BA13" t="e">
        <f>AND('Ark1'!A349,"AAAAAH3vfDQ=")</f>
        <v>#VALUE!</v>
      </c>
      <c r="BB13" t="e">
        <f>AND('Ark1'!B349,"AAAAAH3vfDU=")</f>
        <v>#VALUE!</v>
      </c>
      <c r="BC13" t="e">
        <f>AND('Ark1'!C349,"AAAAAH3vfDY=")</f>
        <v>#VALUE!</v>
      </c>
      <c r="BD13" t="e">
        <f>AND('Ark1'!D349,"AAAAAH3vfDc=")</f>
        <v>#VALUE!</v>
      </c>
      <c r="BE13" t="e">
        <f>AND('Ark1'!E349,"AAAAAH3vfDg=")</f>
        <v>#VALUE!</v>
      </c>
      <c r="BF13" t="e">
        <f>AND('Ark1'!F349,"AAAAAH3vfDk=")</f>
        <v>#VALUE!</v>
      </c>
      <c r="BG13" t="e">
        <f>AND('Ark1'!G349,"AAAAAH3vfDo=")</f>
        <v>#VALUE!</v>
      </c>
      <c r="BH13" t="e">
        <f>AND('Ark1'!H349,"AAAAAH3vfDs=")</f>
        <v>#VALUE!</v>
      </c>
      <c r="BI13">
        <f>IF('Ark1'!350:350,"AAAAAH3vfDw=",0)</f>
        <v>0</v>
      </c>
      <c r="BJ13" t="e">
        <f>AND('Ark1'!A350,"AAAAAH3vfD0=")</f>
        <v>#VALUE!</v>
      </c>
      <c r="BK13" t="e">
        <f>AND('Ark1'!B350,"AAAAAH3vfD4=")</f>
        <v>#VALUE!</v>
      </c>
      <c r="BL13" t="e">
        <f>AND('Ark1'!C350,"AAAAAH3vfD8=")</f>
        <v>#VALUE!</v>
      </c>
      <c r="BM13" t="e">
        <f>AND('Ark1'!D350,"AAAAAH3vfEA=")</f>
        <v>#VALUE!</v>
      </c>
      <c r="BN13" t="e">
        <f>AND('Ark1'!E350,"AAAAAH3vfEE=")</f>
        <v>#VALUE!</v>
      </c>
      <c r="BO13" t="e">
        <f>AND('Ark1'!F350,"AAAAAH3vfEI=")</f>
        <v>#VALUE!</v>
      </c>
      <c r="BP13" t="e">
        <f>AND('Ark1'!G350,"AAAAAH3vfEM=")</f>
        <v>#VALUE!</v>
      </c>
      <c r="BQ13" t="e">
        <f>AND('Ark1'!H350,"AAAAAH3vfEQ=")</f>
        <v>#VALUE!</v>
      </c>
      <c r="BR13">
        <f>IF('Ark1'!351:351,"AAAAAH3vfEU=",0)</f>
        <v>0</v>
      </c>
      <c r="BS13" t="e">
        <f>AND('Ark1'!A351,"AAAAAH3vfEY=")</f>
        <v>#VALUE!</v>
      </c>
      <c r="BT13" t="e">
        <f>AND('Ark1'!B351,"AAAAAH3vfEc=")</f>
        <v>#VALUE!</v>
      </c>
      <c r="BU13" t="e">
        <f>AND('Ark1'!C351,"AAAAAH3vfEg=")</f>
        <v>#VALUE!</v>
      </c>
      <c r="BV13" t="e">
        <f>AND('Ark1'!D351,"AAAAAH3vfEk=")</f>
        <v>#VALUE!</v>
      </c>
      <c r="BW13" t="e">
        <f>AND('Ark1'!E351,"AAAAAH3vfEo=")</f>
        <v>#VALUE!</v>
      </c>
      <c r="BX13" t="e">
        <f>AND('Ark1'!F351,"AAAAAH3vfEs=")</f>
        <v>#VALUE!</v>
      </c>
      <c r="BY13" t="e">
        <f>AND('Ark1'!G351,"AAAAAH3vfEw=")</f>
        <v>#VALUE!</v>
      </c>
      <c r="BZ13" t="e">
        <f>AND('Ark1'!H351,"AAAAAH3vfE0=")</f>
        <v>#VALUE!</v>
      </c>
      <c r="CA13">
        <f>IF('Ark1'!352:352,"AAAAAH3vfE4=",0)</f>
        <v>0</v>
      </c>
      <c r="CB13" t="e">
        <f>AND('Ark1'!A352,"AAAAAH3vfE8=")</f>
        <v>#VALUE!</v>
      </c>
      <c r="CC13" t="e">
        <f>AND('Ark1'!B352,"AAAAAH3vfFA=")</f>
        <v>#VALUE!</v>
      </c>
      <c r="CD13" t="e">
        <f>AND('Ark1'!C352,"AAAAAH3vfFE=")</f>
        <v>#VALUE!</v>
      </c>
      <c r="CE13" t="e">
        <f>AND('Ark1'!D352,"AAAAAH3vfFI=")</f>
        <v>#VALUE!</v>
      </c>
      <c r="CF13" t="e">
        <f>AND('Ark1'!E352,"AAAAAH3vfFM=")</f>
        <v>#VALUE!</v>
      </c>
      <c r="CG13" t="e">
        <f>AND('Ark1'!F352,"AAAAAH3vfFQ=")</f>
        <v>#VALUE!</v>
      </c>
      <c r="CH13" t="e">
        <f>AND('Ark1'!G352,"AAAAAH3vfFU=")</f>
        <v>#VALUE!</v>
      </c>
      <c r="CI13" t="e">
        <f>AND('Ark1'!H352,"AAAAAH3vfFY=")</f>
        <v>#VALUE!</v>
      </c>
      <c r="CJ13">
        <f>IF('Ark1'!353:353,"AAAAAH3vfFc=",0)</f>
        <v>0</v>
      </c>
      <c r="CK13" t="e">
        <f>AND('Ark1'!A353,"AAAAAH3vfFg=")</f>
        <v>#VALUE!</v>
      </c>
      <c r="CL13" t="e">
        <f>AND('Ark1'!B353,"AAAAAH3vfFk=")</f>
        <v>#VALUE!</v>
      </c>
      <c r="CM13" t="e">
        <f>AND('Ark1'!C353,"AAAAAH3vfFo=")</f>
        <v>#VALUE!</v>
      </c>
      <c r="CN13" t="e">
        <f>AND('Ark1'!D353,"AAAAAH3vfFs=")</f>
        <v>#VALUE!</v>
      </c>
      <c r="CO13" t="e">
        <f>AND('Ark1'!E353,"AAAAAH3vfFw=")</f>
        <v>#VALUE!</v>
      </c>
      <c r="CP13" t="e">
        <f>AND('Ark1'!F353,"AAAAAH3vfF0=")</f>
        <v>#VALUE!</v>
      </c>
      <c r="CQ13" t="e">
        <f>AND('Ark1'!G353,"AAAAAH3vfF4=")</f>
        <v>#VALUE!</v>
      </c>
      <c r="CR13" t="e">
        <f>AND('Ark1'!H353,"AAAAAH3vfF8=")</f>
        <v>#VALUE!</v>
      </c>
      <c r="CS13">
        <f>IF('Ark1'!354:354,"AAAAAH3vfGA=",0)</f>
        <v>0</v>
      </c>
      <c r="CT13" t="e">
        <f>AND('Ark1'!A354,"AAAAAH3vfGE=")</f>
        <v>#VALUE!</v>
      </c>
      <c r="CU13" t="e">
        <f>AND('Ark1'!B354,"AAAAAH3vfGI=")</f>
        <v>#VALUE!</v>
      </c>
      <c r="CV13" t="e">
        <f>AND('Ark1'!C354,"AAAAAH3vfGM=")</f>
        <v>#VALUE!</v>
      </c>
      <c r="CW13" t="e">
        <f>AND('Ark1'!D354,"AAAAAH3vfGQ=")</f>
        <v>#VALUE!</v>
      </c>
      <c r="CX13" t="e">
        <f>AND('Ark1'!E354,"AAAAAH3vfGU=")</f>
        <v>#VALUE!</v>
      </c>
      <c r="CY13" t="e">
        <f>AND('Ark1'!F354,"AAAAAH3vfGY=")</f>
        <v>#VALUE!</v>
      </c>
      <c r="CZ13" t="e">
        <f>AND('Ark1'!G354,"AAAAAH3vfGc=")</f>
        <v>#VALUE!</v>
      </c>
      <c r="DA13" t="e">
        <f>AND('Ark1'!H354,"AAAAAH3vfGg=")</f>
        <v>#VALUE!</v>
      </c>
      <c r="DB13">
        <f>IF('Ark1'!355:355,"AAAAAH3vfGk=",0)</f>
        <v>0</v>
      </c>
      <c r="DC13" t="e">
        <f>AND('Ark1'!A355,"AAAAAH3vfGo=")</f>
        <v>#VALUE!</v>
      </c>
      <c r="DD13" t="e">
        <f>AND('Ark1'!B355,"AAAAAH3vfGs=")</f>
        <v>#VALUE!</v>
      </c>
      <c r="DE13" t="e">
        <f>AND('Ark1'!C355,"AAAAAH3vfGw=")</f>
        <v>#VALUE!</v>
      </c>
      <c r="DF13" t="e">
        <f>AND('Ark1'!D355,"AAAAAH3vfG0=")</f>
        <v>#VALUE!</v>
      </c>
      <c r="DG13" t="e">
        <f>AND('Ark1'!E355,"AAAAAH3vfG4=")</f>
        <v>#VALUE!</v>
      </c>
      <c r="DH13" t="e">
        <f>AND('Ark1'!F355,"AAAAAH3vfG8=")</f>
        <v>#VALUE!</v>
      </c>
      <c r="DI13" t="e">
        <f>AND('Ark1'!G355,"AAAAAH3vfHA=")</f>
        <v>#VALUE!</v>
      </c>
      <c r="DJ13" t="e">
        <f>AND('Ark1'!H355,"AAAAAH3vfHE=")</f>
        <v>#VALUE!</v>
      </c>
      <c r="DK13">
        <f>IF('Ark1'!356:356,"AAAAAH3vfHI=",0)</f>
        <v>0</v>
      </c>
      <c r="DL13" t="e">
        <f>AND('Ark1'!A356,"AAAAAH3vfHM=")</f>
        <v>#VALUE!</v>
      </c>
      <c r="DM13" t="e">
        <f>AND('Ark1'!B356,"AAAAAH3vfHQ=")</f>
        <v>#VALUE!</v>
      </c>
      <c r="DN13" t="e">
        <f>AND('Ark1'!C356,"AAAAAH3vfHU=")</f>
        <v>#VALUE!</v>
      </c>
      <c r="DO13" t="e">
        <f>AND('Ark1'!D356,"AAAAAH3vfHY=")</f>
        <v>#VALUE!</v>
      </c>
      <c r="DP13" t="e">
        <f>AND('Ark1'!E356,"AAAAAH3vfHc=")</f>
        <v>#VALUE!</v>
      </c>
      <c r="DQ13" t="e">
        <f>AND('Ark1'!F356,"AAAAAH3vfHg=")</f>
        <v>#VALUE!</v>
      </c>
      <c r="DR13" t="e">
        <f>AND('Ark1'!G356,"AAAAAH3vfHk=")</f>
        <v>#VALUE!</v>
      </c>
      <c r="DS13" t="e">
        <f>AND('Ark1'!H356,"AAAAAH3vfHo=")</f>
        <v>#VALUE!</v>
      </c>
      <c r="DT13">
        <f>IF('Ark1'!357:357,"AAAAAH3vfHs=",0)</f>
        <v>0</v>
      </c>
      <c r="DU13" t="e">
        <f>AND('Ark1'!A357,"AAAAAH3vfHw=")</f>
        <v>#VALUE!</v>
      </c>
      <c r="DV13" t="e">
        <f>AND('Ark1'!B357,"AAAAAH3vfH0=")</f>
        <v>#VALUE!</v>
      </c>
      <c r="DW13" t="e">
        <f>AND('Ark1'!C357,"AAAAAH3vfH4=")</f>
        <v>#VALUE!</v>
      </c>
      <c r="DX13" t="e">
        <f>AND('Ark1'!D357,"AAAAAH3vfH8=")</f>
        <v>#VALUE!</v>
      </c>
      <c r="DY13" t="e">
        <f>AND('Ark1'!E357,"AAAAAH3vfIA=")</f>
        <v>#VALUE!</v>
      </c>
      <c r="DZ13" t="e">
        <f>AND('Ark1'!F357,"AAAAAH3vfIE=")</f>
        <v>#VALUE!</v>
      </c>
      <c r="EA13" t="e">
        <f>AND('Ark1'!G357,"AAAAAH3vfII=")</f>
        <v>#VALUE!</v>
      </c>
      <c r="EB13" t="e">
        <f>AND('Ark1'!H357,"AAAAAH3vfIM=")</f>
        <v>#VALUE!</v>
      </c>
      <c r="EC13">
        <f>IF('Ark1'!358:358,"AAAAAH3vfIQ=",0)</f>
        <v>0</v>
      </c>
      <c r="ED13" t="e">
        <f>AND('Ark1'!A358,"AAAAAH3vfIU=")</f>
        <v>#VALUE!</v>
      </c>
      <c r="EE13" t="e">
        <f>AND('Ark1'!B358,"AAAAAH3vfIY=")</f>
        <v>#VALUE!</v>
      </c>
      <c r="EF13" t="e">
        <f>AND('Ark1'!C358,"AAAAAH3vfIc=")</f>
        <v>#VALUE!</v>
      </c>
      <c r="EG13" t="e">
        <f>AND('Ark1'!D358,"AAAAAH3vfIg=")</f>
        <v>#VALUE!</v>
      </c>
      <c r="EH13" t="e">
        <f>AND('Ark1'!E358,"AAAAAH3vfIk=")</f>
        <v>#VALUE!</v>
      </c>
      <c r="EI13" t="e">
        <f>AND('Ark1'!F358,"AAAAAH3vfIo=")</f>
        <v>#VALUE!</v>
      </c>
      <c r="EJ13" t="e">
        <f>AND('Ark1'!G358,"AAAAAH3vfIs=")</f>
        <v>#VALUE!</v>
      </c>
      <c r="EK13" t="e">
        <f>AND('Ark1'!H358,"AAAAAH3vfIw=")</f>
        <v>#VALUE!</v>
      </c>
      <c r="EL13">
        <f>IF('Ark1'!359:359,"AAAAAH3vfI0=",0)</f>
        <v>0</v>
      </c>
      <c r="EM13" t="e">
        <f>AND('Ark1'!A359,"AAAAAH3vfI4=")</f>
        <v>#VALUE!</v>
      </c>
      <c r="EN13" t="e">
        <f>AND('Ark1'!B359,"AAAAAH3vfI8=")</f>
        <v>#VALUE!</v>
      </c>
      <c r="EO13" t="e">
        <f>AND('Ark1'!C359,"AAAAAH3vfJA=")</f>
        <v>#VALUE!</v>
      </c>
      <c r="EP13" t="e">
        <f>AND('Ark1'!D359,"AAAAAH3vfJE=")</f>
        <v>#VALUE!</v>
      </c>
      <c r="EQ13" t="e">
        <f>AND('Ark1'!E359,"AAAAAH3vfJI=")</f>
        <v>#VALUE!</v>
      </c>
      <c r="ER13" t="e">
        <f>AND('Ark1'!F359,"AAAAAH3vfJM=")</f>
        <v>#VALUE!</v>
      </c>
      <c r="ES13" t="e">
        <f>AND('Ark1'!G359,"AAAAAH3vfJQ=")</f>
        <v>#VALUE!</v>
      </c>
      <c r="ET13" t="e">
        <f>AND('Ark1'!H359,"AAAAAH3vfJU=")</f>
        <v>#VALUE!</v>
      </c>
      <c r="EU13">
        <f>IF('Ark1'!360:360,"AAAAAH3vfJY=",0)</f>
        <v>0</v>
      </c>
      <c r="EV13" t="e">
        <f>AND('Ark1'!A360,"AAAAAH3vfJc=")</f>
        <v>#VALUE!</v>
      </c>
      <c r="EW13" t="e">
        <f>AND('Ark1'!B360,"AAAAAH3vfJg=")</f>
        <v>#VALUE!</v>
      </c>
      <c r="EX13" t="e">
        <f>AND('Ark1'!C360,"AAAAAH3vfJk=")</f>
        <v>#VALUE!</v>
      </c>
      <c r="EY13" t="e">
        <f>AND('Ark1'!D360,"AAAAAH3vfJo=")</f>
        <v>#VALUE!</v>
      </c>
      <c r="EZ13" t="e">
        <f>AND('Ark1'!E360,"AAAAAH3vfJs=")</f>
        <v>#VALUE!</v>
      </c>
      <c r="FA13" t="e">
        <f>AND('Ark1'!F360,"AAAAAH3vfJw=")</f>
        <v>#VALUE!</v>
      </c>
      <c r="FB13" t="e">
        <f>AND('Ark1'!G360,"AAAAAH3vfJ0=")</f>
        <v>#VALUE!</v>
      </c>
      <c r="FC13" t="e">
        <f>AND('Ark1'!H360,"AAAAAH3vfJ4=")</f>
        <v>#VALUE!</v>
      </c>
      <c r="FD13">
        <f>IF('Ark1'!361:361,"AAAAAH3vfJ8=",0)</f>
        <v>0</v>
      </c>
      <c r="FE13" t="e">
        <f>AND('Ark1'!A361,"AAAAAH3vfKA=")</f>
        <v>#VALUE!</v>
      </c>
      <c r="FF13" t="e">
        <f>AND('Ark1'!B361,"AAAAAH3vfKE=")</f>
        <v>#VALUE!</v>
      </c>
      <c r="FG13" t="e">
        <f>AND('Ark1'!C361,"AAAAAH3vfKI=")</f>
        <v>#VALUE!</v>
      </c>
      <c r="FH13" t="e">
        <f>AND('Ark1'!D361,"AAAAAH3vfKM=")</f>
        <v>#VALUE!</v>
      </c>
      <c r="FI13" t="e">
        <f>AND('Ark1'!E361,"AAAAAH3vfKQ=")</f>
        <v>#VALUE!</v>
      </c>
      <c r="FJ13" t="e">
        <f>AND('Ark1'!F361,"AAAAAH3vfKU=")</f>
        <v>#VALUE!</v>
      </c>
      <c r="FK13" t="e">
        <f>AND('Ark1'!G361,"AAAAAH3vfKY=")</f>
        <v>#VALUE!</v>
      </c>
      <c r="FL13" t="e">
        <f>AND('Ark1'!H361,"AAAAAH3vfKc=")</f>
        <v>#VALUE!</v>
      </c>
      <c r="FM13">
        <f>IF('Ark1'!362:362,"AAAAAH3vfKg=",0)</f>
        <v>0</v>
      </c>
      <c r="FN13" t="e">
        <f>AND('Ark1'!A362,"AAAAAH3vfKk=")</f>
        <v>#VALUE!</v>
      </c>
      <c r="FO13" t="e">
        <f>AND('Ark1'!B362,"AAAAAH3vfKo=")</f>
        <v>#VALUE!</v>
      </c>
      <c r="FP13" t="e">
        <f>AND('Ark1'!C362,"AAAAAH3vfKs=")</f>
        <v>#VALUE!</v>
      </c>
      <c r="FQ13" t="e">
        <f>AND('Ark1'!D362,"AAAAAH3vfKw=")</f>
        <v>#VALUE!</v>
      </c>
      <c r="FR13" t="e">
        <f>AND('Ark1'!E362,"AAAAAH3vfK0=")</f>
        <v>#VALUE!</v>
      </c>
      <c r="FS13" t="e">
        <f>AND('Ark1'!F362,"AAAAAH3vfK4=")</f>
        <v>#VALUE!</v>
      </c>
      <c r="FT13" t="e">
        <f>AND('Ark1'!G362,"AAAAAH3vfK8=")</f>
        <v>#VALUE!</v>
      </c>
      <c r="FU13" t="e">
        <f>AND('Ark1'!H362,"AAAAAH3vfLA=")</f>
        <v>#VALUE!</v>
      </c>
      <c r="FV13">
        <f>IF('Ark1'!363:363,"AAAAAH3vfLE=",0)</f>
        <v>0</v>
      </c>
      <c r="FW13" t="e">
        <f>AND('Ark1'!A363,"AAAAAH3vfLI=")</f>
        <v>#VALUE!</v>
      </c>
      <c r="FX13" t="e">
        <f>AND('Ark1'!B363,"AAAAAH3vfLM=")</f>
        <v>#VALUE!</v>
      </c>
      <c r="FY13" t="e">
        <f>AND('Ark1'!C363,"AAAAAH3vfLQ=")</f>
        <v>#VALUE!</v>
      </c>
      <c r="FZ13" t="e">
        <f>AND('Ark1'!D363,"AAAAAH3vfLU=")</f>
        <v>#VALUE!</v>
      </c>
      <c r="GA13" t="e">
        <f>AND('Ark1'!E363,"AAAAAH3vfLY=")</f>
        <v>#VALUE!</v>
      </c>
      <c r="GB13" t="e">
        <f>AND('Ark1'!F363,"AAAAAH3vfLc=")</f>
        <v>#VALUE!</v>
      </c>
      <c r="GC13" t="e">
        <f>AND('Ark1'!G363,"AAAAAH3vfLg=")</f>
        <v>#VALUE!</v>
      </c>
      <c r="GD13" t="e">
        <f>AND('Ark1'!H363,"AAAAAH3vfLk=")</f>
        <v>#VALUE!</v>
      </c>
      <c r="GE13">
        <f>IF('Ark1'!364:364,"AAAAAH3vfLo=",0)</f>
        <v>0</v>
      </c>
      <c r="GF13" t="e">
        <f>AND('Ark1'!A364,"AAAAAH3vfLs=")</f>
        <v>#VALUE!</v>
      </c>
      <c r="GG13" t="e">
        <f>AND('Ark1'!B364,"AAAAAH3vfLw=")</f>
        <v>#VALUE!</v>
      </c>
      <c r="GH13" t="e">
        <f>AND('Ark1'!C364,"AAAAAH3vfL0=")</f>
        <v>#VALUE!</v>
      </c>
      <c r="GI13" t="e">
        <f>AND('Ark1'!D364,"AAAAAH3vfL4=")</f>
        <v>#VALUE!</v>
      </c>
      <c r="GJ13" t="e">
        <f>AND('Ark1'!E364,"AAAAAH3vfL8=")</f>
        <v>#VALUE!</v>
      </c>
      <c r="GK13" t="e">
        <f>AND('Ark1'!F364,"AAAAAH3vfMA=")</f>
        <v>#VALUE!</v>
      </c>
      <c r="GL13" t="e">
        <f>AND('Ark1'!G364,"AAAAAH3vfME=")</f>
        <v>#VALUE!</v>
      </c>
      <c r="GM13" t="e">
        <f>AND('Ark1'!H364,"AAAAAH3vfMI=")</f>
        <v>#VALUE!</v>
      </c>
      <c r="GN13">
        <f>IF('Ark1'!365:365,"AAAAAH3vfMM=",0)</f>
        <v>0</v>
      </c>
      <c r="GO13" t="e">
        <f>AND('Ark1'!A365,"AAAAAH3vfMQ=")</f>
        <v>#VALUE!</v>
      </c>
      <c r="GP13" t="e">
        <f>AND('Ark1'!B365,"AAAAAH3vfMU=")</f>
        <v>#VALUE!</v>
      </c>
      <c r="GQ13" t="e">
        <f>AND('Ark1'!C365,"AAAAAH3vfMY=")</f>
        <v>#VALUE!</v>
      </c>
      <c r="GR13" t="e">
        <f>AND('Ark1'!D365,"AAAAAH3vfMc=")</f>
        <v>#VALUE!</v>
      </c>
      <c r="GS13" t="e">
        <f>AND('Ark1'!E365,"AAAAAH3vfMg=")</f>
        <v>#VALUE!</v>
      </c>
      <c r="GT13" t="e">
        <f>AND('Ark1'!F365,"AAAAAH3vfMk=")</f>
        <v>#VALUE!</v>
      </c>
      <c r="GU13" t="e">
        <f>AND('Ark1'!G365,"AAAAAH3vfMo=")</f>
        <v>#VALUE!</v>
      </c>
      <c r="GV13" t="e">
        <f>AND('Ark1'!H365,"AAAAAH3vfMs=")</f>
        <v>#VALUE!</v>
      </c>
      <c r="GW13">
        <f>IF('Ark1'!366:366,"AAAAAH3vfMw=",0)</f>
        <v>0</v>
      </c>
      <c r="GX13" t="e">
        <f>AND('Ark1'!A366,"AAAAAH3vfM0=")</f>
        <v>#VALUE!</v>
      </c>
      <c r="GY13" t="e">
        <f>AND('Ark1'!B366,"AAAAAH3vfM4=")</f>
        <v>#VALUE!</v>
      </c>
      <c r="GZ13" t="e">
        <f>AND('Ark1'!C366,"AAAAAH3vfM8=")</f>
        <v>#VALUE!</v>
      </c>
      <c r="HA13" t="e">
        <f>AND('Ark1'!D366,"AAAAAH3vfNA=")</f>
        <v>#VALUE!</v>
      </c>
      <c r="HB13" t="e">
        <f>AND('Ark1'!E366,"AAAAAH3vfNE=")</f>
        <v>#VALUE!</v>
      </c>
      <c r="HC13" t="e">
        <f>AND('Ark1'!F366,"AAAAAH3vfNI=")</f>
        <v>#VALUE!</v>
      </c>
      <c r="HD13" t="e">
        <f>AND('Ark1'!G366,"AAAAAH3vfNM=")</f>
        <v>#VALUE!</v>
      </c>
      <c r="HE13" t="e">
        <f>AND('Ark1'!H366,"AAAAAH3vfNQ=")</f>
        <v>#VALUE!</v>
      </c>
      <c r="HF13">
        <f>IF('Ark1'!367:367,"AAAAAH3vfNU=",0)</f>
        <v>0</v>
      </c>
      <c r="HG13" t="e">
        <f>AND('Ark1'!A367,"AAAAAH3vfNY=")</f>
        <v>#VALUE!</v>
      </c>
      <c r="HH13" t="e">
        <f>AND('Ark1'!B367,"AAAAAH3vfNc=")</f>
        <v>#VALUE!</v>
      </c>
      <c r="HI13" t="e">
        <f>AND('Ark1'!C367,"AAAAAH3vfNg=")</f>
        <v>#VALUE!</v>
      </c>
      <c r="HJ13" t="e">
        <f>AND('Ark1'!D367,"AAAAAH3vfNk=")</f>
        <v>#VALUE!</v>
      </c>
      <c r="HK13" t="e">
        <f>AND('Ark1'!E367,"AAAAAH3vfNo=")</f>
        <v>#VALUE!</v>
      </c>
      <c r="HL13" t="e">
        <f>AND('Ark1'!F367,"AAAAAH3vfNs=")</f>
        <v>#VALUE!</v>
      </c>
      <c r="HM13" t="e">
        <f>AND('Ark1'!G367,"AAAAAH3vfNw=")</f>
        <v>#VALUE!</v>
      </c>
      <c r="HN13" t="e">
        <f>AND('Ark1'!H367,"AAAAAH3vfN0=")</f>
        <v>#VALUE!</v>
      </c>
      <c r="HO13">
        <f>IF('Ark1'!368:368,"AAAAAH3vfN4=",0)</f>
        <v>0</v>
      </c>
      <c r="HP13" t="e">
        <f>AND('Ark1'!A368,"AAAAAH3vfN8=")</f>
        <v>#VALUE!</v>
      </c>
      <c r="HQ13" t="e">
        <f>AND('Ark1'!B368,"AAAAAH3vfOA=")</f>
        <v>#VALUE!</v>
      </c>
      <c r="HR13" t="e">
        <f>AND('Ark1'!C368,"AAAAAH3vfOE=")</f>
        <v>#VALUE!</v>
      </c>
      <c r="HS13" t="e">
        <f>AND('Ark1'!D368,"AAAAAH3vfOI=")</f>
        <v>#VALUE!</v>
      </c>
      <c r="HT13" t="e">
        <f>AND('Ark1'!E368,"AAAAAH3vfOM=")</f>
        <v>#VALUE!</v>
      </c>
      <c r="HU13" t="e">
        <f>AND('Ark1'!F368,"AAAAAH3vfOQ=")</f>
        <v>#VALUE!</v>
      </c>
      <c r="HV13" t="e">
        <f>AND('Ark1'!G368,"AAAAAH3vfOU=")</f>
        <v>#VALUE!</v>
      </c>
      <c r="HW13" t="e">
        <f>AND('Ark1'!H368,"AAAAAH3vfOY=")</f>
        <v>#VALUE!</v>
      </c>
      <c r="HX13">
        <f>IF('Ark1'!369:369,"AAAAAH3vfOc=",0)</f>
        <v>0</v>
      </c>
      <c r="HY13" t="e">
        <f>AND('Ark1'!A369,"AAAAAH3vfOg=")</f>
        <v>#VALUE!</v>
      </c>
      <c r="HZ13" t="e">
        <f>AND('Ark1'!B369,"AAAAAH3vfOk=")</f>
        <v>#VALUE!</v>
      </c>
      <c r="IA13" t="e">
        <f>AND('Ark1'!C369,"AAAAAH3vfOo=")</f>
        <v>#VALUE!</v>
      </c>
      <c r="IB13" t="e">
        <f>AND('Ark1'!D369,"AAAAAH3vfOs=")</f>
        <v>#VALUE!</v>
      </c>
      <c r="IC13" t="e">
        <f>AND('Ark1'!E369,"AAAAAH3vfOw=")</f>
        <v>#VALUE!</v>
      </c>
      <c r="ID13" t="e">
        <f>AND('Ark1'!F369,"AAAAAH3vfO0=")</f>
        <v>#VALUE!</v>
      </c>
      <c r="IE13" t="e">
        <f>AND('Ark1'!G369,"AAAAAH3vfO4=")</f>
        <v>#VALUE!</v>
      </c>
      <c r="IF13" t="e">
        <f>AND('Ark1'!H369,"AAAAAH3vfO8=")</f>
        <v>#VALUE!</v>
      </c>
      <c r="IG13">
        <f>IF('Ark1'!370:370,"AAAAAH3vfPA=",0)</f>
        <v>0</v>
      </c>
      <c r="IH13" t="e">
        <f>AND('Ark1'!A370,"AAAAAH3vfPE=")</f>
        <v>#VALUE!</v>
      </c>
      <c r="II13" t="e">
        <f>AND('Ark1'!B370,"AAAAAH3vfPI=")</f>
        <v>#VALUE!</v>
      </c>
      <c r="IJ13" t="e">
        <f>AND('Ark1'!C370,"AAAAAH3vfPM=")</f>
        <v>#VALUE!</v>
      </c>
      <c r="IK13" t="e">
        <f>AND('Ark1'!D370,"AAAAAH3vfPQ=")</f>
        <v>#VALUE!</v>
      </c>
      <c r="IL13" t="e">
        <f>AND('Ark1'!E370,"AAAAAH3vfPU=")</f>
        <v>#VALUE!</v>
      </c>
      <c r="IM13" t="e">
        <f>AND('Ark1'!F370,"AAAAAH3vfPY=")</f>
        <v>#VALUE!</v>
      </c>
      <c r="IN13" t="e">
        <f>AND('Ark1'!G370,"AAAAAH3vfPc=")</f>
        <v>#VALUE!</v>
      </c>
      <c r="IO13" t="e">
        <f>AND('Ark1'!H370,"AAAAAH3vfPg=")</f>
        <v>#VALUE!</v>
      </c>
      <c r="IP13">
        <f>IF('Ark1'!371:371,"AAAAAH3vfPk=",0)</f>
        <v>0</v>
      </c>
      <c r="IQ13" t="e">
        <f>AND('Ark1'!A371,"AAAAAH3vfPo=")</f>
        <v>#VALUE!</v>
      </c>
      <c r="IR13" t="e">
        <f>AND('Ark1'!B371,"AAAAAH3vfPs=")</f>
        <v>#VALUE!</v>
      </c>
      <c r="IS13" t="e">
        <f>AND('Ark1'!C371,"AAAAAH3vfPw=")</f>
        <v>#VALUE!</v>
      </c>
      <c r="IT13" t="e">
        <f>AND('Ark1'!D371,"AAAAAH3vfP0=")</f>
        <v>#VALUE!</v>
      </c>
      <c r="IU13" t="e">
        <f>AND('Ark1'!E371,"AAAAAH3vfP4=")</f>
        <v>#VALUE!</v>
      </c>
      <c r="IV13" t="e">
        <f>AND('Ark1'!F371,"AAAAAH3vfP8=")</f>
        <v>#VALUE!</v>
      </c>
    </row>
    <row r="14" spans="1:256" x14ac:dyDescent="0.25">
      <c r="A14" t="e">
        <f>AND('Ark1'!G371,"AAAAAEZ2wgA=")</f>
        <v>#VALUE!</v>
      </c>
      <c r="B14" t="e">
        <f>AND('Ark1'!H371,"AAAAAEZ2wgE=")</f>
        <v>#VALUE!</v>
      </c>
      <c r="C14">
        <f>IF('Ark1'!372:372,"AAAAAEZ2wgI=",0)</f>
        <v>0</v>
      </c>
      <c r="D14" t="e">
        <f>AND('Ark1'!A372,"AAAAAEZ2wgM=")</f>
        <v>#VALUE!</v>
      </c>
      <c r="E14" t="e">
        <f>AND('Ark1'!B372,"AAAAAEZ2wgQ=")</f>
        <v>#VALUE!</v>
      </c>
      <c r="F14" t="e">
        <f>AND('Ark1'!C372,"AAAAAEZ2wgU=")</f>
        <v>#VALUE!</v>
      </c>
      <c r="G14" t="e">
        <f>AND('Ark1'!D372,"AAAAAEZ2wgY=")</f>
        <v>#VALUE!</v>
      </c>
      <c r="H14" t="e">
        <f>AND('Ark1'!E372,"AAAAAEZ2wgc=")</f>
        <v>#VALUE!</v>
      </c>
      <c r="I14" t="e">
        <f>AND('Ark1'!F372,"AAAAAEZ2wgg=")</f>
        <v>#VALUE!</v>
      </c>
      <c r="J14" t="e">
        <f>AND('Ark1'!G372,"AAAAAEZ2wgk=")</f>
        <v>#VALUE!</v>
      </c>
      <c r="K14" t="e">
        <f>AND('Ark1'!H372,"AAAAAEZ2wgo=")</f>
        <v>#VALUE!</v>
      </c>
      <c r="L14">
        <f>IF('Ark1'!373:373,"AAAAAEZ2wgs=",0)</f>
        <v>0</v>
      </c>
      <c r="M14" t="e">
        <f>AND('Ark1'!A373,"AAAAAEZ2wgw=")</f>
        <v>#VALUE!</v>
      </c>
      <c r="N14" t="e">
        <f>AND('Ark1'!B373,"AAAAAEZ2wg0=")</f>
        <v>#VALUE!</v>
      </c>
      <c r="O14" t="e">
        <f>AND('Ark1'!C373,"AAAAAEZ2wg4=")</f>
        <v>#VALUE!</v>
      </c>
      <c r="P14" t="e">
        <f>AND('Ark1'!D373,"AAAAAEZ2wg8=")</f>
        <v>#VALUE!</v>
      </c>
      <c r="Q14" t="e">
        <f>AND('Ark1'!E373,"AAAAAEZ2whA=")</f>
        <v>#VALUE!</v>
      </c>
      <c r="R14" t="e">
        <f>AND('Ark1'!F373,"AAAAAEZ2whE=")</f>
        <v>#VALUE!</v>
      </c>
      <c r="S14" t="e">
        <f>AND('Ark1'!G373,"AAAAAEZ2whI=")</f>
        <v>#VALUE!</v>
      </c>
      <c r="T14" t="e">
        <f>AND('Ark1'!H373,"AAAAAEZ2whM=")</f>
        <v>#VALUE!</v>
      </c>
      <c r="U14">
        <f>IF('Ark1'!374:374,"AAAAAEZ2whQ=",0)</f>
        <v>0</v>
      </c>
      <c r="V14" t="e">
        <f>AND('Ark1'!A374,"AAAAAEZ2whU=")</f>
        <v>#VALUE!</v>
      </c>
      <c r="W14" t="e">
        <f>AND('Ark1'!B374,"AAAAAEZ2whY=")</f>
        <v>#VALUE!</v>
      </c>
      <c r="X14" t="e">
        <f>AND('Ark1'!C374,"AAAAAEZ2whc=")</f>
        <v>#VALUE!</v>
      </c>
      <c r="Y14" t="e">
        <f>AND('Ark1'!D374,"AAAAAEZ2whg=")</f>
        <v>#VALUE!</v>
      </c>
      <c r="Z14" t="e">
        <f>AND('Ark1'!E374,"AAAAAEZ2whk=")</f>
        <v>#VALUE!</v>
      </c>
      <c r="AA14" t="e">
        <f>AND('Ark1'!F374,"AAAAAEZ2who=")</f>
        <v>#VALUE!</v>
      </c>
      <c r="AB14" t="e">
        <f>AND('Ark1'!G374,"AAAAAEZ2whs=")</f>
        <v>#VALUE!</v>
      </c>
      <c r="AC14" t="e">
        <f>AND('Ark1'!H374,"AAAAAEZ2whw=")</f>
        <v>#VALUE!</v>
      </c>
      <c r="AD14">
        <f>IF('Ark1'!375:375,"AAAAAEZ2wh0=",0)</f>
        <v>0</v>
      </c>
      <c r="AE14" t="e">
        <f>AND('Ark1'!A375,"AAAAAEZ2wh4=")</f>
        <v>#VALUE!</v>
      </c>
      <c r="AF14" t="e">
        <f>AND('Ark1'!B375,"AAAAAEZ2wh8=")</f>
        <v>#VALUE!</v>
      </c>
      <c r="AG14" t="e">
        <f>AND('Ark1'!C375,"AAAAAEZ2wiA=")</f>
        <v>#VALUE!</v>
      </c>
      <c r="AH14" t="e">
        <f>AND('Ark1'!D375,"AAAAAEZ2wiE=")</f>
        <v>#VALUE!</v>
      </c>
      <c r="AI14" t="e">
        <f>AND('Ark1'!E375,"AAAAAEZ2wiI=")</f>
        <v>#VALUE!</v>
      </c>
      <c r="AJ14" t="e">
        <f>AND('Ark1'!F375,"AAAAAEZ2wiM=")</f>
        <v>#VALUE!</v>
      </c>
      <c r="AK14" t="e">
        <f>AND('Ark1'!G375,"AAAAAEZ2wiQ=")</f>
        <v>#VALUE!</v>
      </c>
      <c r="AL14" t="e">
        <f>AND('Ark1'!H375,"AAAAAEZ2wiU=")</f>
        <v>#VALUE!</v>
      </c>
      <c r="AM14">
        <f>IF('Ark1'!376:376,"AAAAAEZ2wiY=",0)</f>
        <v>0</v>
      </c>
      <c r="AN14" t="e">
        <f>AND('Ark1'!A376,"AAAAAEZ2wic=")</f>
        <v>#VALUE!</v>
      </c>
      <c r="AO14" t="e">
        <f>AND('Ark1'!B376,"AAAAAEZ2wig=")</f>
        <v>#VALUE!</v>
      </c>
      <c r="AP14" t="e">
        <f>AND('Ark1'!C376,"AAAAAEZ2wik=")</f>
        <v>#VALUE!</v>
      </c>
      <c r="AQ14" t="e">
        <f>AND('Ark1'!D376,"AAAAAEZ2wio=")</f>
        <v>#VALUE!</v>
      </c>
      <c r="AR14" t="e">
        <f>AND('Ark1'!E376,"AAAAAEZ2wis=")</f>
        <v>#VALUE!</v>
      </c>
      <c r="AS14" t="e">
        <f>AND('Ark1'!F376,"AAAAAEZ2wiw=")</f>
        <v>#VALUE!</v>
      </c>
      <c r="AT14" t="e">
        <f>AND('Ark1'!G376,"AAAAAEZ2wi0=")</f>
        <v>#VALUE!</v>
      </c>
      <c r="AU14" t="e">
        <f>AND('Ark1'!H376,"AAAAAEZ2wi4=")</f>
        <v>#VALUE!</v>
      </c>
      <c r="AV14">
        <f>IF('Ark1'!377:377,"AAAAAEZ2wi8=",0)</f>
        <v>0</v>
      </c>
      <c r="AW14" t="e">
        <f>AND('Ark1'!A377,"AAAAAEZ2wjA=")</f>
        <v>#VALUE!</v>
      </c>
      <c r="AX14" t="e">
        <f>AND('Ark1'!B377,"AAAAAEZ2wjE=")</f>
        <v>#VALUE!</v>
      </c>
      <c r="AY14" t="e">
        <f>AND('Ark1'!C377,"AAAAAEZ2wjI=")</f>
        <v>#VALUE!</v>
      </c>
      <c r="AZ14" t="e">
        <f>AND('Ark1'!D377,"AAAAAEZ2wjM=")</f>
        <v>#VALUE!</v>
      </c>
      <c r="BA14" t="e">
        <f>AND('Ark1'!E377,"AAAAAEZ2wjQ=")</f>
        <v>#VALUE!</v>
      </c>
      <c r="BB14" t="e">
        <f>AND('Ark1'!F377,"AAAAAEZ2wjU=")</f>
        <v>#VALUE!</v>
      </c>
      <c r="BC14" t="e">
        <f>AND('Ark1'!G377,"AAAAAEZ2wjY=")</f>
        <v>#VALUE!</v>
      </c>
      <c r="BD14" t="e">
        <f>AND('Ark1'!H377,"AAAAAEZ2wjc=")</f>
        <v>#VALUE!</v>
      </c>
      <c r="BE14">
        <f>IF('Ark1'!378:378,"AAAAAEZ2wjg=",0)</f>
        <v>0</v>
      </c>
      <c r="BF14" t="e">
        <f>AND('Ark1'!A378,"AAAAAEZ2wjk=")</f>
        <v>#VALUE!</v>
      </c>
      <c r="BG14" t="e">
        <f>AND('Ark1'!B378,"AAAAAEZ2wjo=")</f>
        <v>#VALUE!</v>
      </c>
      <c r="BH14" t="e">
        <f>AND('Ark1'!C378,"AAAAAEZ2wjs=")</f>
        <v>#VALUE!</v>
      </c>
      <c r="BI14" t="e">
        <f>AND('Ark1'!D378,"AAAAAEZ2wjw=")</f>
        <v>#VALUE!</v>
      </c>
      <c r="BJ14" t="e">
        <f>AND('Ark1'!E378,"AAAAAEZ2wj0=")</f>
        <v>#VALUE!</v>
      </c>
      <c r="BK14" t="e">
        <f>AND('Ark1'!F378,"AAAAAEZ2wj4=")</f>
        <v>#VALUE!</v>
      </c>
      <c r="BL14" t="e">
        <f>AND('Ark1'!G378,"AAAAAEZ2wj8=")</f>
        <v>#VALUE!</v>
      </c>
      <c r="BM14" t="e">
        <f>AND('Ark1'!H378,"AAAAAEZ2wkA=")</f>
        <v>#VALUE!</v>
      </c>
      <c r="BN14">
        <f>IF('Ark1'!379:379,"AAAAAEZ2wkE=",0)</f>
        <v>0</v>
      </c>
      <c r="BO14" t="e">
        <f>AND('Ark1'!A379,"AAAAAEZ2wkI=")</f>
        <v>#VALUE!</v>
      </c>
      <c r="BP14" t="e">
        <f>AND('Ark1'!B379,"AAAAAEZ2wkM=")</f>
        <v>#VALUE!</v>
      </c>
      <c r="BQ14" t="e">
        <f>AND('Ark1'!C379,"AAAAAEZ2wkQ=")</f>
        <v>#VALUE!</v>
      </c>
      <c r="BR14" t="e">
        <f>AND('Ark1'!D379,"AAAAAEZ2wkU=")</f>
        <v>#VALUE!</v>
      </c>
      <c r="BS14" t="e">
        <f>AND('Ark1'!E379,"AAAAAEZ2wkY=")</f>
        <v>#VALUE!</v>
      </c>
      <c r="BT14" t="e">
        <f>AND('Ark1'!F379,"AAAAAEZ2wkc=")</f>
        <v>#VALUE!</v>
      </c>
      <c r="BU14" t="e">
        <f>AND('Ark1'!G379,"AAAAAEZ2wkg=")</f>
        <v>#VALUE!</v>
      </c>
      <c r="BV14" t="e">
        <f>AND('Ark1'!H379,"AAAAAEZ2wkk=")</f>
        <v>#VALUE!</v>
      </c>
      <c r="BW14">
        <f>IF('Ark1'!380:380,"AAAAAEZ2wko=",0)</f>
        <v>0</v>
      </c>
      <c r="BX14" t="e">
        <f>AND('Ark1'!A380,"AAAAAEZ2wks=")</f>
        <v>#VALUE!</v>
      </c>
      <c r="BY14" t="e">
        <f>AND('Ark1'!B380,"AAAAAEZ2wkw=")</f>
        <v>#VALUE!</v>
      </c>
      <c r="BZ14" t="e">
        <f>AND('Ark1'!C380,"AAAAAEZ2wk0=")</f>
        <v>#VALUE!</v>
      </c>
      <c r="CA14" t="e">
        <f>AND('Ark1'!D380,"AAAAAEZ2wk4=")</f>
        <v>#VALUE!</v>
      </c>
      <c r="CB14" t="e">
        <f>AND('Ark1'!E380,"AAAAAEZ2wk8=")</f>
        <v>#VALUE!</v>
      </c>
      <c r="CC14" t="e">
        <f>AND('Ark1'!F380,"AAAAAEZ2wlA=")</f>
        <v>#VALUE!</v>
      </c>
      <c r="CD14" t="e">
        <f>AND('Ark1'!G380,"AAAAAEZ2wlE=")</f>
        <v>#VALUE!</v>
      </c>
      <c r="CE14" t="e">
        <f>AND('Ark1'!H380,"AAAAAEZ2wlI=")</f>
        <v>#VALUE!</v>
      </c>
      <c r="CF14">
        <f>IF('Ark1'!381:381,"AAAAAEZ2wlM=",0)</f>
        <v>0</v>
      </c>
      <c r="CG14" t="e">
        <f>AND('Ark1'!A381,"AAAAAEZ2wlQ=")</f>
        <v>#VALUE!</v>
      </c>
      <c r="CH14" t="e">
        <f>AND('Ark1'!B381,"AAAAAEZ2wlU=")</f>
        <v>#VALUE!</v>
      </c>
      <c r="CI14" t="e">
        <f>AND('Ark1'!C381,"AAAAAEZ2wlY=")</f>
        <v>#VALUE!</v>
      </c>
      <c r="CJ14" t="e">
        <f>AND('Ark1'!D381,"AAAAAEZ2wlc=")</f>
        <v>#VALUE!</v>
      </c>
      <c r="CK14" t="e">
        <f>AND('Ark1'!E381,"AAAAAEZ2wlg=")</f>
        <v>#VALUE!</v>
      </c>
      <c r="CL14" t="e">
        <f>AND('Ark1'!F381,"AAAAAEZ2wlk=")</f>
        <v>#VALUE!</v>
      </c>
      <c r="CM14" t="e">
        <f>AND('Ark1'!G381,"AAAAAEZ2wlo=")</f>
        <v>#VALUE!</v>
      </c>
      <c r="CN14" t="e">
        <f>AND('Ark1'!H381,"AAAAAEZ2wls=")</f>
        <v>#VALUE!</v>
      </c>
      <c r="CO14">
        <f>IF('Ark1'!382:382,"AAAAAEZ2wlw=",0)</f>
        <v>0</v>
      </c>
      <c r="CP14" t="e">
        <f>AND('Ark1'!A382,"AAAAAEZ2wl0=")</f>
        <v>#VALUE!</v>
      </c>
      <c r="CQ14" t="e">
        <f>AND('Ark1'!B382,"AAAAAEZ2wl4=")</f>
        <v>#VALUE!</v>
      </c>
      <c r="CR14" t="e">
        <f>AND('Ark1'!C382,"AAAAAEZ2wl8=")</f>
        <v>#VALUE!</v>
      </c>
      <c r="CS14" t="e">
        <f>AND('Ark1'!D382,"AAAAAEZ2wmA=")</f>
        <v>#VALUE!</v>
      </c>
      <c r="CT14" t="e">
        <f>AND('Ark1'!E382,"AAAAAEZ2wmE=")</f>
        <v>#VALUE!</v>
      </c>
      <c r="CU14" t="e">
        <f>AND('Ark1'!F382,"AAAAAEZ2wmI=")</f>
        <v>#VALUE!</v>
      </c>
      <c r="CV14" t="e">
        <f>AND('Ark1'!G382,"AAAAAEZ2wmM=")</f>
        <v>#VALUE!</v>
      </c>
      <c r="CW14" t="e">
        <f>AND('Ark1'!H382,"AAAAAEZ2wmQ=")</f>
        <v>#VALUE!</v>
      </c>
      <c r="CX14">
        <f>IF('Ark1'!383:383,"AAAAAEZ2wmU=",0)</f>
        <v>0</v>
      </c>
      <c r="CY14" t="e">
        <f>AND('Ark1'!A383,"AAAAAEZ2wmY=")</f>
        <v>#VALUE!</v>
      </c>
      <c r="CZ14" t="e">
        <f>AND('Ark1'!B383,"AAAAAEZ2wmc=")</f>
        <v>#VALUE!</v>
      </c>
      <c r="DA14" t="e">
        <f>AND('Ark1'!C383,"AAAAAEZ2wmg=")</f>
        <v>#VALUE!</v>
      </c>
      <c r="DB14" t="e">
        <f>AND('Ark1'!D383,"AAAAAEZ2wmk=")</f>
        <v>#VALUE!</v>
      </c>
      <c r="DC14" t="e">
        <f>AND('Ark1'!E383,"AAAAAEZ2wmo=")</f>
        <v>#VALUE!</v>
      </c>
      <c r="DD14" t="e">
        <f>AND('Ark1'!F383,"AAAAAEZ2wms=")</f>
        <v>#VALUE!</v>
      </c>
      <c r="DE14" t="e">
        <f>AND('Ark1'!G383,"AAAAAEZ2wmw=")</f>
        <v>#VALUE!</v>
      </c>
      <c r="DF14" t="e">
        <f>AND('Ark1'!H383,"AAAAAEZ2wm0=")</f>
        <v>#VALUE!</v>
      </c>
      <c r="DG14">
        <f>IF('Ark1'!384:384,"AAAAAEZ2wm4=",0)</f>
        <v>0</v>
      </c>
      <c r="DH14" t="e">
        <f>AND('Ark1'!A384,"AAAAAEZ2wm8=")</f>
        <v>#VALUE!</v>
      </c>
      <c r="DI14" t="e">
        <f>AND('Ark1'!B384,"AAAAAEZ2wnA=")</f>
        <v>#VALUE!</v>
      </c>
      <c r="DJ14" t="e">
        <f>AND('Ark1'!C384,"AAAAAEZ2wnE=")</f>
        <v>#VALUE!</v>
      </c>
      <c r="DK14" t="e">
        <f>AND('Ark1'!D384,"AAAAAEZ2wnI=")</f>
        <v>#VALUE!</v>
      </c>
      <c r="DL14" t="e">
        <f>AND('Ark1'!E384,"AAAAAEZ2wnM=")</f>
        <v>#VALUE!</v>
      </c>
      <c r="DM14" t="e">
        <f>AND('Ark1'!F384,"AAAAAEZ2wnQ=")</f>
        <v>#VALUE!</v>
      </c>
      <c r="DN14" t="e">
        <f>AND('Ark1'!G384,"AAAAAEZ2wnU=")</f>
        <v>#VALUE!</v>
      </c>
      <c r="DO14" t="e">
        <f>AND('Ark1'!H384,"AAAAAEZ2wnY=")</f>
        <v>#VALUE!</v>
      </c>
      <c r="DP14">
        <f>IF('Ark1'!385:385,"AAAAAEZ2wnc=",0)</f>
        <v>0</v>
      </c>
      <c r="DQ14" t="e">
        <f>AND('Ark1'!A385,"AAAAAEZ2wng=")</f>
        <v>#VALUE!</v>
      </c>
      <c r="DR14" t="e">
        <f>AND('Ark1'!B385,"AAAAAEZ2wnk=")</f>
        <v>#VALUE!</v>
      </c>
      <c r="DS14" t="e">
        <f>AND('Ark1'!C385,"AAAAAEZ2wno=")</f>
        <v>#VALUE!</v>
      </c>
      <c r="DT14" t="e">
        <f>AND('Ark1'!D385,"AAAAAEZ2wns=")</f>
        <v>#VALUE!</v>
      </c>
      <c r="DU14" t="e">
        <f>AND('Ark1'!E385,"AAAAAEZ2wnw=")</f>
        <v>#VALUE!</v>
      </c>
      <c r="DV14" t="e">
        <f>AND('Ark1'!F385,"AAAAAEZ2wn0=")</f>
        <v>#VALUE!</v>
      </c>
      <c r="DW14" t="e">
        <f>AND('Ark1'!G385,"AAAAAEZ2wn4=")</f>
        <v>#VALUE!</v>
      </c>
      <c r="DX14" t="e">
        <f>AND('Ark1'!H385,"AAAAAEZ2wn8=")</f>
        <v>#VALUE!</v>
      </c>
      <c r="DY14">
        <f>IF('Ark1'!386:386,"AAAAAEZ2woA=",0)</f>
        <v>0</v>
      </c>
      <c r="DZ14" t="e">
        <f>AND('Ark1'!A386,"AAAAAEZ2woE=")</f>
        <v>#VALUE!</v>
      </c>
      <c r="EA14" t="e">
        <f>AND('Ark1'!B386,"AAAAAEZ2woI=")</f>
        <v>#VALUE!</v>
      </c>
      <c r="EB14" t="e">
        <f>AND('Ark1'!C386,"AAAAAEZ2woM=")</f>
        <v>#VALUE!</v>
      </c>
      <c r="EC14" t="e">
        <f>AND('Ark1'!D386,"AAAAAEZ2woQ=")</f>
        <v>#VALUE!</v>
      </c>
      <c r="ED14" t="e">
        <f>AND('Ark1'!E386,"AAAAAEZ2woU=")</f>
        <v>#VALUE!</v>
      </c>
      <c r="EE14" t="e">
        <f>AND('Ark1'!F386,"AAAAAEZ2woY=")</f>
        <v>#VALUE!</v>
      </c>
      <c r="EF14" t="e">
        <f>AND('Ark1'!G386,"AAAAAEZ2woc=")</f>
        <v>#VALUE!</v>
      </c>
      <c r="EG14" t="e">
        <f>AND('Ark1'!H386,"AAAAAEZ2wog=")</f>
        <v>#VALUE!</v>
      </c>
      <c r="EH14">
        <f>IF('Ark1'!387:387,"AAAAAEZ2wok=",0)</f>
        <v>0</v>
      </c>
      <c r="EI14" t="e">
        <f>AND('Ark1'!A387,"AAAAAEZ2woo=")</f>
        <v>#VALUE!</v>
      </c>
      <c r="EJ14" t="e">
        <f>AND('Ark1'!B387,"AAAAAEZ2wos=")</f>
        <v>#VALUE!</v>
      </c>
      <c r="EK14" t="e">
        <f>AND('Ark1'!C387,"AAAAAEZ2wow=")</f>
        <v>#VALUE!</v>
      </c>
      <c r="EL14" t="e">
        <f>AND('Ark1'!D387,"AAAAAEZ2wo0=")</f>
        <v>#VALUE!</v>
      </c>
      <c r="EM14" t="e">
        <f>AND('Ark1'!E387,"AAAAAEZ2wo4=")</f>
        <v>#VALUE!</v>
      </c>
      <c r="EN14" t="e">
        <f>AND('Ark1'!F387,"AAAAAEZ2wo8=")</f>
        <v>#VALUE!</v>
      </c>
      <c r="EO14" t="e">
        <f>AND('Ark1'!G387,"AAAAAEZ2wpA=")</f>
        <v>#VALUE!</v>
      </c>
      <c r="EP14" t="e">
        <f>AND('Ark1'!H387,"AAAAAEZ2wpE=")</f>
        <v>#VALUE!</v>
      </c>
      <c r="EQ14">
        <f>IF('Ark1'!388:388,"AAAAAEZ2wpI=",0)</f>
        <v>0</v>
      </c>
      <c r="ER14" t="e">
        <f>AND('Ark1'!A388,"AAAAAEZ2wpM=")</f>
        <v>#VALUE!</v>
      </c>
      <c r="ES14" t="e">
        <f>AND('Ark1'!B388,"AAAAAEZ2wpQ=")</f>
        <v>#VALUE!</v>
      </c>
      <c r="ET14" t="e">
        <f>AND('Ark1'!C388,"AAAAAEZ2wpU=")</f>
        <v>#VALUE!</v>
      </c>
      <c r="EU14" t="e">
        <f>AND('Ark1'!D388,"AAAAAEZ2wpY=")</f>
        <v>#VALUE!</v>
      </c>
      <c r="EV14" t="e">
        <f>AND('Ark1'!E388,"AAAAAEZ2wpc=")</f>
        <v>#VALUE!</v>
      </c>
      <c r="EW14" t="e">
        <f>AND('Ark1'!F388,"AAAAAEZ2wpg=")</f>
        <v>#VALUE!</v>
      </c>
      <c r="EX14" t="e">
        <f>AND('Ark1'!G388,"AAAAAEZ2wpk=")</f>
        <v>#VALUE!</v>
      </c>
      <c r="EY14" t="e">
        <f>AND('Ark1'!H388,"AAAAAEZ2wpo=")</f>
        <v>#VALUE!</v>
      </c>
      <c r="EZ14">
        <f>IF('Ark1'!389:389,"AAAAAEZ2wps=",0)</f>
        <v>0</v>
      </c>
      <c r="FA14" t="e">
        <f>AND('Ark1'!A389,"AAAAAEZ2wpw=")</f>
        <v>#VALUE!</v>
      </c>
      <c r="FB14" t="e">
        <f>AND('Ark1'!B389,"AAAAAEZ2wp0=")</f>
        <v>#VALUE!</v>
      </c>
      <c r="FC14" t="e">
        <f>AND('Ark1'!C389,"AAAAAEZ2wp4=")</f>
        <v>#VALUE!</v>
      </c>
      <c r="FD14" t="e">
        <f>AND('Ark1'!D389,"AAAAAEZ2wp8=")</f>
        <v>#VALUE!</v>
      </c>
      <c r="FE14" t="e">
        <f>AND('Ark1'!E389,"AAAAAEZ2wqA=")</f>
        <v>#VALUE!</v>
      </c>
      <c r="FF14" t="e">
        <f>AND('Ark1'!F389,"AAAAAEZ2wqE=")</f>
        <v>#VALUE!</v>
      </c>
      <c r="FG14" t="e">
        <f>AND('Ark1'!G389,"AAAAAEZ2wqI=")</f>
        <v>#VALUE!</v>
      </c>
      <c r="FH14" t="e">
        <f>AND('Ark1'!H389,"AAAAAEZ2wqM=")</f>
        <v>#VALUE!</v>
      </c>
      <c r="FI14">
        <f>IF('Ark1'!390:390,"AAAAAEZ2wqQ=",0)</f>
        <v>0</v>
      </c>
      <c r="FJ14" t="e">
        <f>AND('Ark1'!A390,"AAAAAEZ2wqU=")</f>
        <v>#VALUE!</v>
      </c>
      <c r="FK14" t="e">
        <f>AND('Ark1'!B390,"AAAAAEZ2wqY=")</f>
        <v>#VALUE!</v>
      </c>
      <c r="FL14" t="e">
        <f>AND('Ark1'!C390,"AAAAAEZ2wqc=")</f>
        <v>#VALUE!</v>
      </c>
      <c r="FM14" t="e">
        <f>AND('Ark1'!D390,"AAAAAEZ2wqg=")</f>
        <v>#VALUE!</v>
      </c>
      <c r="FN14" t="e">
        <f>AND('Ark1'!E390,"AAAAAEZ2wqk=")</f>
        <v>#VALUE!</v>
      </c>
      <c r="FO14" t="e">
        <f>AND('Ark1'!F390,"AAAAAEZ2wqo=")</f>
        <v>#VALUE!</v>
      </c>
      <c r="FP14" t="e">
        <f>AND('Ark1'!G390,"AAAAAEZ2wqs=")</f>
        <v>#VALUE!</v>
      </c>
      <c r="FQ14" t="e">
        <f>AND('Ark1'!H390,"AAAAAEZ2wqw=")</f>
        <v>#VALUE!</v>
      </c>
      <c r="FR14">
        <f>IF('Ark1'!391:391,"AAAAAEZ2wq0=",0)</f>
        <v>0</v>
      </c>
      <c r="FS14" t="e">
        <f>AND('Ark1'!A391,"AAAAAEZ2wq4=")</f>
        <v>#VALUE!</v>
      </c>
      <c r="FT14" t="e">
        <f>AND('Ark1'!B391,"AAAAAEZ2wq8=")</f>
        <v>#VALUE!</v>
      </c>
      <c r="FU14" t="e">
        <f>AND('Ark1'!C391,"AAAAAEZ2wrA=")</f>
        <v>#VALUE!</v>
      </c>
      <c r="FV14" t="e">
        <f>AND('Ark1'!D391,"AAAAAEZ2wrE=")</f>
        <v>#VALUE!</v>
      </c>
      <c r="FW14" t="e">
        <f>AND('Ark1'!E391,"AAAAAEZ2wrI=")</f>
        <v>#VALUE!</v>
      </c>
      <c r="FX14" t="e">
        <f>AND('Ark1'!F391,"AAAAAEZ2wrM=")</f>
        <v>#VALUE!</v>
      </c>
      <c r="FY14" t="e">
        <f>AND('Ark1'!G391,"AAAAAEZ2wrQ=")</f>
        <v>#VALUE!</v>
      </c>
      <c r="FZ14" t="e">
        <f>AND('Ark1'!H391,"AAAAAEZ2wrU=")</f>
        <v>#VALUE!</v>
      </c>
      <c r="GA14">
        <f>IF('Ark1'!392:392,"AAAAAEZ2wrY=",0)</f>
        <v>0</v>
      </c>
      <c r="GB14" t="e">
        <f>AND('Ark1'!A392,"AAAAAEZ2wrc=")</f>
        <v>#VALUE!</v>
      </c>
      <c r="GC14" t="e">
        <f>AND('Ark1'!B392,"AAAAAEZ2wrg=")</f>
        <v>#VALUE!</v>
      </c>
      <c r="GD14" t="e">
        <f>AND('Ark1'!C392,"AAAAAEZ2wrk=")</f>
        <v>#VALUE!</v>
      </c>
      <c r="GE14" t="e">
        <f>AND('Ark1'!D392,"AAAAAEZ2wro=")</f>
        <v>#VALUE!</v>
      </c>
      <c r="GF14" t="e">
        <f>AND('Ark1'!E392,"AAAAAEZ2wrs=")</f>
        <v>#VALUE!</v>
      </c>
      <c r="GG14" t="e">
        <f>AND('Ark1'!F392,"AAAAAEZ2wrw=")</f>
        <v>#VALUE!</v>
      </c>
      <c r="GH14" t="e">
        <f>AND('Ark1'!G392,"AAAAAEZ2wr0=")</f>
        <v>#VALUE!</v>
      </c>
      <c r="GI14" t="e">
        <f>AND('Ark1'!H392,"AAAAAEZ2wr4=")</f>
        <v>#VALUE!</v>
      </c>
      <c r="GJ14">
        <f>IF('Ark1'!393:393,"AAAAAEZ2wr8=",0)</f>
        <v>0</v>
      </c>
      <c r="GK14" t="e">
        <f>AND('Ark1'!A393,"AAAAAEZ2wsA=")</f>
        <v>#VALUE!</v>
      </c>
      <c r="GL14" t="e">
        <f>AND('Ark1'!B393,"AAAAAEZ2wsE=")</f>
        <v>#VALUE!</v>
      </c>
      <c r="GM14" t="e">
        <f>AND('Ark1'!C393,"AAAAAEZ2wsI=")</f>
        <v>#VALUE!</v>
      </c>
      <c r="GN14" t="e">
        <f>AND('Ark1'!D393,"AAAAAEZ2wsM=")</f>
        <v>#VALUE!</v>
      </c>
      <c r="GO14" t="e">
        <f>AND('Ark1'!E393,"AAAAAEZ2wsQ=")</f>
        <v>#VALUE!</v>
      </c>
      <c r="GP14" t="e">
        <f>AND('Ark1'!F393,"AAAAAEZ2wsU=")</f>
        <v>#VALUE!</v>
      </c>
      <c r="GQ14" t="e">
        <f>AND('Ark1'!G393,"AAAAAEZ2wsY=")</f>
        <v>#VALUE!</v>
      </c>
      <c r="GR14" t="e">
        <f>AND('Ark1'!H393,"AAAAAEZ2wsc=")</f>
        <v>#VALUE!</v>
      </c>
      <c r="GS14">
        <f>IF('Ark1'!394:394,"AAAAAEZ2wsg=",0)</f>
        <v>0</v>
      </c>
      <c r="GT14" t="e">
        <f>AND('Ark1'!A394,"AAAAAEZ2wsk=")</f>
        <v>#VALUE!</v>
      </c>
      <c r="GU14" t="e">
        <f>AND('Ark1'!B394,"AAAAAEZ2wso=")</f>
        <v>#VALUE!</v>
      </c>
      <c r="GV14" t="e">
        <f>AND('Ark1'!C394,"AAAAAEZ2wss=")</f>
        <v>#VALUE!</v>
      </c>
      <c r="GW14" t="e">
        <f>AND('Ark1'!D394,"AAAAAEZ2wsw=")</f>
        <v>#VALUE!</v>
      </c>
      <c r="GX14" t="e">
        <f>AND('Ark1'!E394,"AAAAAEZ2ws0=")</f>
        <v>#VALUE!</v>
      </c>
      <c r="GY14" t="e">
        <f>AND('Ark1'!F394,"AAAAAEZ2ws4=")</f>
        <v>#VALUE!</v>
      </c>
      <c r="GZ14" t="e">
        <f>AND('Ark1'!G394,"AAAAAEZ2ws8=")</f>
        <v>#VALUE!</v>
      </c>
      <c r="HA14" t="e">
        <f>AND('Ark1'!H394,"AAAAAEZ2wtA=")</f>
        <v>#VALUE!</v>
      </c>
      <c r="HB14">
        <f>IF('Ark1'!395:395,"AAAAAEZ2wtE=",0)</f>
        <v>0</v>
      </c>
      <c r="HC14" t="e">
        <f>AND('Ark1'!A395,"AAAAAEZ2wtI=")</f>
        <v>#VALUE!</v>
      </c>
      <c r="HD14" t="e">
        <f>AND('Ark1'!B395,"AAAAAEZ2wtM=")</f>
        <v>#VALUE!</v>
      </c>
      <c r="HE14" t="e">
        <f>AND('Ark1'!C395,"AAAAAEZ2wtQ=")</f>
        <v>#VALUE!</v>
      </c>
      <c r="HF14" t="e">
        <f>AND('Ark1'!D395,"AAAAAEZ2wtU=")</f>
        <v>#VALUE!</v>
      </c>
      <c r="HG14" t="e">
        <f>AND('Ark1'!E395,"AAAAAEZ2wtY=")</f>
        <v>#VALUE!</v>
      </c>
      <c r="HH14" t="e">
        <f>AND('Ark1'!F395,"AAAAAEZ2wtc=")</f>
        <v>#VALUE!</v>
      </c>
      <c r="HI14" t="e">
        <f>AND('Ark1'!G395,"AAAAAEZ2wtg=")</f>
        <v>#VALUE!</v>
      </c>
      <c r="HJ14" t="e">
        <f>AND('Ark1'!H395,"AAAAAEZ2wtk=")</f>
        <v>#VALUE!</v>
      </c>
      <c r="HK14">
        <f>IF('Ark1'!396:396,"AAAAAEZ2wto=",0)</f>
        <v>0</v>
      </c>
      <c r="HL14" t="e">
        <f>AND('Ark1'!A396,"AAAAAEZ2wts=")</f>
        <v>#VALUE!</v>
      </c>
      <c r="HM14" t="e">
        <f>AND('Ark1'!B396,"AAAAAEZ2wtw=")</f>
        <v>#VALUE!</v>
      </c>
      <c r="HN14" t="e">
        <f>AND('Ark1'!C396,"AAAAAEZ2wt0=")</f>
        <v>#VALUE!</v>
      </c>
      <c r="HO14" t="e">
        <f>AND('Ark1'!D396,"AAAAAEZ2wt4=")</f>
        <v>#VALUE!</v>
      </c>
      <c r="HP14" t="e">
        <f>AND('Ark1'!E396,"AAAAAEZ2wt8=")</f>
        <v>#VALUE!</v>
      </c>
      <c r="HQ14" t="e">
        <f>AND('Ark1'!F396,"AAAAAEZ2wuA=")</f>
        <v>#VALUE!</v>
      </c>
      <c r="HR14" t="e">
        <f>AND('Ark1'!G396,"AAAAAEZ2wuE=")</f>
        <v>#VALUE!</v>
      </c>
      <c r="HS14" t="e">
        <f>AND('Ark1'!H396,"AAAAAEZ2wuI=")</f>
        <v>#VALUE!</v>
      </c>
      <c r="HT14">
        <f>IF('Ark1'!397:397,"AAAAAEZ2wuM=",0)</f>
        <v>0</v>
      </c>
      <c r="HU14" t="e">
        <f>AND('Ark1'!A397,"AAAAAEZ2wuQ=")</f>
        <v>#VALUE!</v>
      </c>
      <c r="HV14" t="e">
        <f>AND('Ark1'!B397,"AAAAAEZ2wuU=")</f>
        <v>#VALUE!</v>
      </c>
      <c r="HW14" t="e">
        <f>AND('Ark1'!C397,"AAAAAEZ2wuY=")</f>
        <v>#VALUE!</v>
      </c>
      <c r="HX14" t="e">
        <f>AND('Ark1'!D397,"AAAAAEZ2wuc=")</f>
        <v>#VALUE!</v>
      </c>
      <c r="HY14" t="e">
        <f>AND('Ark1'!E397,"AAAAAEZ2wug=")</f>
        <v>#VALUE!</v>
      </c>
      <c r="HZ14" t="e">
        <f>AND('Ark1'!F397,"AAAAAEZ2wuk=")</f>
        <v>#VALUE!</v>
      </c>
      <c r="IA14" t="e">
        <f>AND('Ark1'!G397,"AAAAAEZ2wuo=")</f>
        <v>#VALUE!</v>
      </c>
      <c r="IB14" t="e">
        <f>AND('Ark1'!H397,"AAAAAEZ2wus=")</f>
        <v>#VALUE!</v>
      </c>
      <c r="IC14">
        <f>IF('Ark1'!398:398,"AAAAAEZ2wuw=",0)</f>
        <v>0</v>
      </c>
      <c r="ID14" t="e">
        <f>AND('Ark1'!A398,"AAAAAEZ2wu0=")</f>
        <v>#VALUE!</v>
      </c>
      <c r="IE14" t="e">
        <f>AND('Ark1'!B398,"AAAAAEZ2wu4=")</f>
        <v>#VALUE!</v>
      </c>
      <c r="IF14" t="e">
        <f>AND('Ark1'!C398,"AAAAAEZ2wu8=")</f>
        <v>#VALUE!</v>
      </c>
      <c r="IG14" t="e">
        <f>AND('Ark1'!D398,"AAAAAEZ2wvA=")</f>
        <v>#VALUE!</v>
      </c>
      <c r="IH14" t="e">
        <f>AND('Ark1'!E398,"AAAAAEZ2wvE=")</f>
        <v>#VALUE!</v>
      </c>
      <c r="II14" t="e">
        <f>AND('Ark1'!F398,"AAAAAEZ2wvI=")</f>
        <v>#VALUE!</v>
      </c>
      <c r="IJ14" t="e">
        <f>AND('Ark1'!G398,"AAAAAEZ2wvM=")</f>
        <v>#VALUE!</v>
      </c>
      <c r="IK14" t="e">
        <f>AND('Ark1'!H398,"AAAAAEZ2wvQ=")</f>
        <v>#VALUE!</v>
      </c>
      <c r="IL14">
        <f>IF('Ark1'!399:399,"AAAAAEZ2wvU=",0)</f>
        <v>0</v>
      </c>
      <c r="IM14" t="e">
        <f>AND('Ark1'!A399,"AAAAAEZ2wvY=")</f>
        <v>#VALUE!</v>
      </c>
      <c r="IN14" t="e">
        <f>AND('Ark1'!B399,"AAAAAEZ2wvc=")</f>
        <v>#VALUE!</v>
      </c>
      <c r="IO14" t="e">
        <f>AND('Ark1'!C399,"AAAAAEZ2wvg=")</f>
        <v>#VALUE!</v>
      </c>
      <c r="IP14" t="e">
        <f>AND('Ark1'!D399,"AAAAAEZ2wvk=")</f>
        <v>#VALUE!</v>
      </c>
      <c r="IQ14" t="e">
        <f>AND('Ark1'!E399,"AAAAAEZ2wvo=")</f>
        <v>#VALUE!</v>
      </c>
      <c r="IR14" t="e">
        <f>AND('Ark1'!F399,"AAAAAEZ2wvs=")</f>
        <v>#VALUE!</v>
      </c>
      <c r="IS14" t="e">
        <f>AND('Ark1'!G399,"AAAAAEZ2wvw=")</f>
        <v>#VALUE!</v>
      </c>
      <c r="IT14" t="e">
        <f>AND('Ark1'!H399,"AAAAAEZ2wv0=")</f>
        <v>#VALUE!</v>
      </c>
      <c r="IU14">
        <f>IF('Ark1'!401:401,"AAAAAEZ2wv4=",0)</f>
        <v>0</v>
      </c>
      <c r="IV14" t="e">
        <f>AND('Ark1'!A401,"AAAAAEZ2wv8=")</f>
        <v>#VALUE!</v>
      </c>
    </row>
    <row r="15" spans="1:256" x14ac:dyDescent="0.25">
      <c r="A15" t="e">
        <f>AND('Ark1'!B401,"AAAAAE/fqgA=")</f>
        <v>#VALUE!</v>
      </c>
      <c r="B15" t="e">
        <f>AND('Ark1'!C401,"AAAAAE/fqgE=")</f>
        <v>#VALUE!</v>
      </c>
      <c r="C15" t="e">
        <f>AND('Ark1'!D401,"AAAAAE/fqgI=")</f>
        <v>#VALUE!</v>
      </c>
      <c r="D15" t="e">
        <f>AND('Ark1'!E401,"AAAAAE/fqgM=")</f>
        <v>#VALUE!</v>
      </c>
      <c r="E15" t="e">
        <f>AND('Ark1'!F401,"AAAAAE/fqgQ=")</f>
        <v>#VALUE!</v>
      </c>
      <c r="F15" t="e">
        <f>AND('Ark1'!G401,"AAAAAE/fqgU=")</f>
        <v>#VALUE!</v>
      </c>
      <c r="G15" t="e">
        <f>AND('Ark1'!H401,"AAAAAE/fqgY=")</f>
        <v>#VALUE!</v>
      </c>
      <c r="H15">
        <f>IF('Ark1'!402:402,"AAAAAE/fqgc=",0)</f>
        <v>0</v>
      </c>
      <c r="I15" t="e">
        <f>AND('Ark1'!A402,"AAAAAE/fqgg=")</f>
        <v>#VALUE!</v>
      </c>
      <c r="J15" t="e">
        <f>AND('Ark1'!B402,"AAAAAE/fqgk=")</f>
        <v>#VALUE!</v>
      </c>
      <c r="K15" t="e">
        <f>AND('Ark1'!C402,"AAAAAE/fqgo=")</f>
        <v>#VALUE!</v>
      </c>
      <c r="L15" t="e">
        <f>AND('Ark1'!D402,"AAAAAE/fqgs=")</f>
        <v>#VALUE!</v>
      </c>
      <c r="M15" t="e">
        <f>AND('Ark1'!E402,"AAAAAE/fqgw=")</f>
        <v>#VALUE!</v>
      </c>
      <c r="N15" t="e">
        <f>AND('Ark1'!F402,"AAAAAE/fqg0=")</f>
        <v>#VALUE!</v>
      </c>
      <c r="O15" t="e">
        <f>AND('Ark1'!G402,"AAAAAE/fqg4=")</f>
        <v>#VALUE!</v>
      </c>
      <c r="P15" t="e">
        <f>AND('Ark1'!H402,"AAAAAE/fqg8=")</f>
        <v>#VALUE!</v>
      </c>
      <c r="Q15">
        <f>IF('Ark1'!403:403,"AAAAAE/fqhA=",0)</f>
        <v>0</v>
      </c>
      <c r="R15" t="e">
        <f>AND('Ark1'!A403,"AAAAAE/fqhE=")</f>
        <v>#VALUE!</v>
      </c>
      <c r="S15" t="e">
        <f>AND('Ark1'!B403,"AAAAAE/fqhI=")</f>
        <v>#VALUE!</v>
      </c>
      <c r="T15" t="e">
        <f>AND('Ark1'!C403,"AAAAAE/fqhM=")</f>
        <v>#VALUE!</v>
      </c>
      <c r="U15" t="e">
        <f>AND('Ark1'!D403,"AAAAAE/fqhQ=")</f>
        <v>#VALUE!</v>
      </c>
      <c r="V15" t="e">
        <f>AND('Ark1'!E403,"AAAAAE/fqhU=")</f>
        <v>#VALUE!</v>
      </c>
      <c r="W15" t="e">
        <f>AND('Ark1'!F403,"AAAAAE/fqhY=")</f>
        <v>#VALUE!</v>
      </c>
      <c r="X15" t="e">
        <f>AND('Ark1'!G403,"AAAAAE/fqhc=")</f>
        <v>#VALUE!</v>
      </c>
      <c r="Y15" t="e">
        <f>AND('Ark1'!H403,"AAAAAE/fqhg=")</f>
        <v>#VALUE!</v>
      </c>
      <c r="Z15">
        <f>IF('Ark1'!404:404,"AAAAAE/fqhk=",0)</f>
        <v>0</v>
      </c>
      <c r="AA15" t="e">
        <f>AND('Ark1'!A404,"AAAAAE/fqho=")</f>
        <v>#VALUE!</v>
      </c>
      <c r="AB15" t="e">
        <f>AND('Ark1'!B404,"AAAAAE/fqhs=")</f>
        <v>#VALUE!</v>
      </c>
      <c r="AC15" t="e">
        <f>AND('Ark1'!C404,"AAAAAE/fqhw=")</f>
        <v>#VALUE!</v>
      </c>
      <c r="AD15" t="e">
        <f>AND('Ark1'!D404,"AAAAAE/fqh0=")</f>
        <v>#VALUE!</v>
      </c>
      <c r="AE15" t="e">
        <f>AND('Ark1'!E404,"AAAAAE/fqh4=")</f>
        <v>#VALUE!</v>
      </c>
      <c r="AF15" t="e">
        <f>AND('Ark1'!F404,"AAAAAE/fqh8=")</f>
        <v>#VALUE!</v>
      </c>
      <c r="AG15" t="e">
        <f>AND('Ark1'!G404,"AAAAAE/fqiA=")</f>
        <v>#VALUE!</v>
      </c>
      <c r="AH15" t="e">
        <f>AND('Ark1'!H404,"AAAAAE/fqiE=")</f>
        <v>#VALUE!</v>
      </c>
      <c r="AI15">
        <f>IF('Ark1'!405:405,"AAAAAE/fqiI=",0)</f>
        <v>0</v>
      </c>
      <c r="AJ15" t="e">
        <f>AND('Ark1'!A405,"AAAAAE/fqiM=")</f>
        <v>#VALUE!</v>
      </c>
      <c r="AK15" t="e">
        <f>AND('Ark1'!B405,"AAAAAE/fqiQ=")</f>
        <v>#VALUE!</v>
      </c>
      <c r="AL15" t="e">
        <f>AND('Ark1'!C405,"AAAAAE/fqiU=")</f>
        <v>#VALUE!</v>
      </c>
      <c r="AM15" t="e">
        <f>AND('Ark1'!D405,"AAAAAE/fqiY=")</f>
        <v>#VALUE!</v>
      </c>
      <c r="AN15" t="e">
        <f>AND('Ark1'!E405,"AAAAAE/fqic=")</f>
        <v>#VALUE!</v>
      </c>
      <c r="AO15" t="e">
        <f>AND('Ark1'!F405,"AAAAAE/fqig=")</f>
        <v>#VALUE!</v>
      </c>
      <c r="AP15" t="e">
        <f>AND('Ark1'!G405,"AAAAAE/fqik=")</f>
        <v>#VALUE!</v>
      </c>
      <c r="AQ15" t="e">
        <f>AND('Ark1'!H405,"AAAAAE/fqio=")</f>
        <v>#VALUE!</v>
      </c>
      <c r="AR15">
        <f>IF('Ark1'!406:406,"AAAAAE/fqis=",0)</f>
        <v>0</v>
      </c>
      <c r="AS15" t="e">
        <f>AND('Ark1'!A406,"AAAAAE/fqiw=")</f>
        <v>#VALUE!</v>
      </c>
      <c r="AT15" t="e">
        <f>AND('Ark1'!B406,"AAAAAE/fqi0=")</f>
        <v>#VALUE!</v>
      </c>
      <c r="AU15" t="e">
        <f>AND('Ark1'!C406,"AAAAAE/fqi4=")</f>
        <v>#VALUE!</v>
      </c>
      <c r="AV15" t="e">
        <f>AND('Ark1'!D406,"AAAAAE/fqi8=")</f>
        <v>#VALUE!</v>
      </c>
      <c r="AW15" t="e">
        <f>AND('Ark1'!E406,"AAAAAE/fqjA=")</f>
        <v>#VALUE!</v>
      </c>
      <c r="AX15" t="e">
        <f>AND('Ark1'!F406,"AAAAAE/fqjE=")</f>
        <v>#VALUE!</v>
      </c>
      <c r="AY15" t="e">
        <f>AND('Ark1'!G406,"AAAAAE/fqjI=")</f>
        <v>#VALUE!</v>
      </c>
      <c r="AZ15" t="e">
        <f>AND('Ark1'!H406,"AAAAAE/fqjM=")</f>
        <v>#VALUE!</v>
      </c>
      <c r="BA15">
        <f>IF('Ark1'!407:407,"AAAAAE/fqjQ=",0)</f>
        <v>0</v>
      </c>
      <c r="BB15" t="e">
        <f>AND('Ark1'!A407,"AAAAAE/fqjU=")</f>
        <v>#VALUE!</v>
      </c>
      <c r="BC15" t="e">
        <f>AND('Ark1'!B407,"AAAAAE/fqjY=")</f>
        <v>#VALUE!</v>
      </c>
      <c r="BD15" t="e">
        <f>AND('Ark1'!C407,"AAAAAE/fqjc=")</f>
        <v>#VALUE!</v>
      </c>
      <c r="BE15" t="e">
        <f>AND('Ark1'!D407,"AAAAAE/fqjg=")</f>
        <v>#VALUE!</v>
      </c>
      <c r="BF15" t="e">
        <f>AND('Ark1'!E407,"AAAAAE/fqjk=")</f>
        <v>#VALUE!</v>
      </c>
      <c r="BG15" t="e">
        <f>AND('Ark1'!F407,"AAAAAE/fqjo=")</f>
        <v>#VALUE!</v>
      </c>
      <c r="BH15" t="e">
        <f>AND('Ark1'!G407,"AAAAAE/fqjs=")</f>
        <v>#VALUE!</v>
      </c>
      <c r="BI15" t="e">
        <f>AND('Ark1'!H407,"AAAAAE/fqjw=")</f>
        <v>#VALUE!</v>
      </c>
      <c r="BJ15">
        <f>IF('Ark1'!408:408,"AAAAAE/fqj0=",0)</f>
        <v>0</v>
      </c>
      <c r="BK15" t="e">
        <f>AND('Ark1'!A408,"AAAAAE/fqj4=")</f>
        <v>#VALUE!</v>
      </c>
      <c r="BL15" t="e">
        <f>AND('Ark1'!B408,"AAAAAE/fqj8=")</f>
        <v>#VALUE!</v>
      </c>
      <c r="BM15" t="e">
        <f>AND('Ark1'!C408,"AAAAAE/fqkA=")</f>
        <v>#VALUE!</v>
      </c>
      <c r="BN15" t="e">
        <f>AND('Ark1'!D408,"AAAAAE/fqkE=")</f>
        <v>#VALUE!</v>
      </c>
      <c r="BO15" t="e">
        <f>AND('Ark1'!E408,"AAAAAE/fqkI=")</f>
        <v>#VALUE!</v>
      </c>
      <c r="BP15" t="e">
        <f>AND('Ark1'!F408,"AAAAAE/fqkM=")</f>
        <v>#VALUE!</v>
      </c>
      <c r="BQ15" t="e">
        <f>AND('Ark1'!G408,"AAAAAE/fqkQ=")</f>
        <v>#VALUE!</v>
      </c>
      <c r="BR15" t="e">
        <f>AND('Ark1'!H408,"AAAAAE/fqkU=")</f>
        <v>#VALUE!</v>
      </c>
      <c r="BS15">
        <f>IF('Ark1'!409:409,"AAAAAE/fqkY=",0)</f>
        <v>0</v>
      </c>
      <c r="BT15" t="e">
        <f>AND('Ark1'!A409,"AAAAAE/fqkc=")</f>
        <v>#VALUE!</v>
      </c>
      <c r="BU15" t="e">
        <f>AND('Ark1'!B409,"AAAAAE/fqkg=")</f>
        <v>#VALUE!</v>
      </c>
      <c r="BV15" t="e">
        <f>AND('Ark1'!C409,"AAAAAE/fqkk=")</f>
        <v>#VALUE!</v>
      </c>
      <c r="BW15" t="e">
        <f>AND('Ark1'!D409,"AAAAAE/fqko=")</f>
        <v>#VALUE!</v>
      </c>
      <c r="BX15" t="e">
        <f>AND('Ark1'!E409,"AAAAAE/fqks=")</f>
        <v>#VALUE!</v>
      </c>
      <c r="BY15" t="e">
        <f>AND('Ark1'!F409,"AAAAAE/fqkw=")</f>
        <v>#VALUE!</v>
      </c>
      <c r="BZ15" t="e">
        <f>AND('Ark1'!G409,"AAAAAE/fqk0=")</f>
        <v>#VALUE!</v>
      </c>
      <c r="CA15" t="e">
        <f>AND('Ark1'!H409,"AAAAAE/fqk4=")</f>
        <v>#VALUE!</v>
      </c>
      <c r="CB15">
        <f>IF('Ark1'!410:410,"AAAAAE/fqk8=",0)</f>
        <v>0</v>
      </c>
      <c r="CC15" t="e">
        <f>AND('Ark1'!A410,"AAAAAE/fqlA=")</f>
        <v>#VALUE!</v>
      </c>
      <c r="CD15" t="e">
        <f>AND('Ark1'!B410,"AAAAAE/fqlE=")</f>
        <v>#VALUE!</v>
      </c>
      <c r="CE15" t="e">
        <f>AND('Ark1'!C410,"AAAAAE/fqlI=")</f>
        <v>#VALUE!</v>
      </c>
      <c r="CF15" t="e">
        <f>AND('Ark1'!D410,"AAAAAE/fqlM=")</f>
        <v>#VALUE!</v>
      </c>
      <c r="CG15" t="e">
        <f>AND('Ark1'!E410,"AAAAAE/fqlQ=")</f>
        <v>#VALUE!</v>
      </c>
      <c r="CH15" t="e">
        <f>AND('Ark1'!F410,"AAAAAE/fqlU=")</f>
        <v>#VALUE!</v>
      </c>
      <c r="CI15" t="e">
        <f>AND('Ark1'!G410,"AAAAAE/fqlY=")</f>
        <v>#VALUE!</v>
      </c>
      <c r="CJ15" t="e">
        <f>AND('Ark1'!H410,"AAAAAE/fqlc=")</f>
        <v>#VALUE!</v>
      </c>
      <c r="CK15">
        <f>IF('Ark1'!411:411,"AAAAAE/fqlg=",0)</f>
        <v>0</v>
      </c>
      <c r="CL15" t="e">
        <f>AND('Ark1'!A411,"AAAAAE/fqlk=")</f>
        <v>#VALUE!</v>
      </c>
      <c r="CM15" t="e">
        <f>AND('Ark1'!B411,"AAAAAE/fqlo=")</f>
        <v>#VALUE!</v>
      </c>
      <c r="CN15" t="e">
        <f>AND('Ark1'!C411,"AAAAAE/fqls=")</f>
        <v>#VALUE!</v>
      </c>
      <c r="CO15" t="e">
        <f>AND('Ark1'!D411,"AAAAAE/fqlw=")</f>
        <v>#VALUE!</v>
      </c>
      <c r="CP15" t="e">
        <f>AND('Ark1'!E411,"AAAAAE/fql0=")</f>
        <v>#VALUE!</v>
      </c>
      <c r="CQ15" t="e">
        <f>AND('Ark1'!F411,"AAAAAE/fql4=")</f>
        <v>#VALUE!</v>
      </c>
      <c r="CR15" t="e">
        <f>AND('Ark1'!G411,"AAAAAE/fql8=")</f>
        <v>#VALUE!</v>
      </c>
      <c r="CS15" t="e">
        <f>AND('Ark1'!H411,"AAAAAE/fqmA=")</f>
        <v>#VALUE!</v>
      </c>
      <c r="CT15">
        <f>IF('Ark1'!412:412,"AAAAAE/fqmE=",0)</f>
        <v>0</v>
      </c>
      <c r="CU15" t="e">
        <f>AND('Ark1'!A412,"AAAAAE/fqmI=")</f>
        <v>#VALUE!</v>
      </c>
      <c r="CV15" t="e">
        <f>AND('Ark1'!B412,"AAAAAE/fqmM=")</f>
        <v>#VALUE!</v>
      </c>
      <c r="CW15" t="e">
        <f>AND('Ark1'!C412,"AAAAAE/fqmQ=")</f>
        <v>#VALUE!</v>
      </c>
      <c r="CX15" t="e">
        <f>AND('Ark1'!D412,"AAAAAE/fqmU=")</f>
        <v>#VALUE!</v>
      </c>
      <c r="CY15" t="e">
        <f>AND('Ark1'!E412,"AAAAAE/fqmY=")</f>
        <v>#VALUE!</v>
      </c>
      <c r="CZ15" t="e">
        <f>AND('Ark1'!F412,"AAAAAE/fqmc=")</f>
        <v>#VALUE!</v>
      </c>
      <c r="DA15" t="e">
        <f>AND('Ark1'!G412,"AAAAAE/fqmg=")</f>
        <v>#VALUE!</v>
      </c>
      <c r="DB15" t="e">
        <f>AND('Ark1'!H412,"AAAAAE/fqmk=")</f>
        <v>#VALUE!</v>
      </c>
      <c r="DC15">
        <f>IF('Ark1'!413:413,"AAAAAE/fqmo=",0)</f>
        <v>0</v>
      </c>
      <c r="DD15" t="e">
        <f>AND('Ark1'!A413,"AAAAAE/fqms=")</f>
        <v>#VALUE!</v>
      </c>
      <c r="DE15" t="e">
        <f>AND('Ark1'!B413,"AAAAAE/fqmw=")</f>
        <v>#VALUE!</v>
      </c>
      <c r="DF15" t="e">
        <f>AND('Ark1'!C413,"AAAAAE/fqm0=")</f>
        <v>#VALUE!</v>
      </c>
      <c r="DG15" t="e">
        <f>AND('Ark1'!D413,"AAAAAE/fqm4=")</f>
        <v>#VALUE!</v>
      </c>
      <c r="DH15" t="e">
        <f>AND('Ark1'!E413,"AAAAAE/fqm8=")</f>
        <v>#VALUE!</v>
      </c>
      <c r="DI15" t="e">
        <f>AND('Ark1'!F413,"AAAAAE/fqnA=")</f>
        <v>#VALUE!</v>
      </c>
      <c r="DJ15" t="e">
        <f>AND('Ark1'!G413,"AAAAAE/fqnE=")</f>
        <v>#VALUE!</v>
      </c>
      <c r="DK15" t="e">
        <f>AND('Ark1'!H413,"AAAAAE/fqnI=")</f>
        <v>#VALUE!</v>
      </c>
      <c r="DL15">
        <f>IF('Ark1'!414:414,"AAAAAE/fqnM=",0)</f>
        <v>0</v>
      </c>
      <c r="DM15" t="e">
        <f>AND('Ark1'!A414,"AAAAAE/fqnQ=")</f>
        <v>#VALUE!</v>
      </c>
      <c r="DN15" t="e">
        <f>AND('Ark1'!B414,"AAAAAE/fqnU=")</f>
        <v>#VALUE!</v>
      </c>
      <c r="DO15" t="e">
        <f>AND('Ark1'!C414,"AAAAAE/fqnY=")</f>
        <v>#VALUE!</v>
      </c>
      <c r="DP15" t="e">
        <f>AND('Ark1'!D414,"AAAAAE/fqnc=")</f>
        <v>#VALUE!</v>
      </c>
      <c r="DQ15" t="e">
        <f>AND('Ark1'!E414,"AAAAAE/fqng=")</f>
        <v>#VALUE!</v>
      </c>
      <c r="DR15" t="e">
        <f>AND('Ark1'!F414,"AAAAAE/fqnk=")</f>
        <v>#VALUE!</v>
      </c>
      <c r="DS15" t="e">
        <f>AND('Ark1'!G414,"AAAAAE/fqno=")</f>
        <v>#VALUE!</v>
      </c>
      <c r="DT15" t="e">
        <f>AND('Ark1'!H414,"AAAAAE/fqns=")</f>
        <v>#VALUE!</v>
      </c>
      <c r="DU15">
        <f>IF('Ark1'!415:415,"AAAAAE/fqnw=",0)</f>
        <v>0</v>
      </c>
      <c r="DV15" t="e">
        <f>AND('Ark1'!A415,"AAAAAE/fqn0=")</f>
        <v>#VALUE!</v>
      </c>
      <c r="DW15" t="e">
        <f>AND('Ark1'!B415,"AAAAAE/fqn4=")</f>
        <v>#VALUE!</v>
      </c>
      <c r="DX15" t="e">
        <f>AND('Ark1'!C415,"AAAAAE/fqn8=")</f>
        <v>#VALUE!</v>
      </c>
      <c r="DY15" t="e">
        <f>AND('Ark1'!D415,"AAAAAE/fqoA=")</f>
        <v>#VALUE!</v>
      </c>
      <c r="DZ15" t="e">
        <f>AND('Ark1'!E415,"AAAAAE/fqoE=")</f>
        <v>#VALUE!</v>
      </c>
      <c r="EA15" t="e">
        <f>AND('Ark1'!F415,"AAAAAE/fqoI=")</f>
        <v>#VALUE!</v>
      </c>
      <c r="EB15" t="e">
        <f>AND('Ark1'!G415,"AAAAAE/fqoM=")</f>
        <v>#VALUE!</v>
      </c>
      <c r="EC15" t="e">
        <f>AND('Ark1'!H415,"AAAAAE/fqoQ=")</f>
        <v>#VALUE!</v>
      </c>
      <c r="ED15">
        <f>IF('Ark1'!416:416,"AAAAAE/fqoU=",0)</f>
        <v>0</v>
      </c>
      <c r="EE15" t="e">
        <f>AND('Ark1'!A416,"AAAAAE/fqoY=")</f>
        <v>#VALUE!</v>
      </c>
      <c r="EF15" t="e">
        <f>AND('Ark1'!B416,"AAAAAE/fqoc=")</f>
        <v>#VALUE!</v>
      </c>
      <c r="EG15" t="e">
        <f>AND('Ark1'!C416,"AAAAAE/fqog=")</f>
        <v>#VALUE!</v>
      </c>
      <c r="EH15" t="e">
        <f>AND('Ark1'!D416,"AAAAAE/fqok=")</f>
        <v>#VALUE!</v>
      </c>
      <c r="EI15" t="e">
        <f>AND('Ark1'!E416,"AAAAAE/fqoo=")</f>
        <v>#VALUE!</v>
      </c>
      <c r="EJ15" t="e">
        <f>AND('Ark1'!F416,"AAAAAE/fqos=")</f>
        <v>#VALUE!</v>
      </c>
      <c r="EK15" t="e">
        <f>AND('Ark1'!G416,"AAAAAE/fqow=")</f>
        <v>#VALUE!</v>
      </c>
      <c r="EL15" t="e">
        <f>AND('Ark1'!H416,"AAAAAE/fqo0=")</f>
        <v>#VALUE!</v>
      </c>
      <c r="EM15">
        <f>IF('Ark1'!417:417,"AAAAAE/fqo4=",0)</f>
        <v>0</v>
      </c>
      <c r="EN15" t="e">
        <f>AND('Ark1'!A417,"AAAAAE/fqo8=")</f>
        <v>#VALUE!</v>
      </c>
      <c r="EO15" t="e">
        <f>AND('Ark1'!B417,"AAAAAE/fqpA=")</f>
        <v>#VALUE!</v>
      </c>
      <c r="EP15" t="e">
        <f>AND('Ark1'!C417,"AAAAAE/fqpE=")</f>
        <v>#VALUE!</v>
      </c>
      <c r="EQ15" t="e">
        <f>AND('Ark1'!D417,"AAAAAE/fqpI=")</f>
        <v>#VALUE!</v>
      </c>
      <c r="ER15" t="e">
        <f>AND('Ark1'!E417,"AAAAAE/fqpM=")</f>
        <v>#VALUE!</v>
      </c>
      <c r="ES15" t="e">
        <f>AND('Ark1'!F417,"AAAAAE/fqpQ=")</f>
        <v>#VALUE!</v>
      </c>
      <c r="ET15" t="e">
        <f>AND('Ark1'!G417,"AAAAAE/fqpU=")</f>
        <v>#VALUE!</v>
      </c>
      <c r="EU15" t="e">
        <f>AND('Ark1'!H417,"AAAAAE/fqpY=")</f>
        <v>#VALUE!</v>
      </c>
      <c r="EV15">
        <f>IF('Ark1'!418:418,"AAAAAE/fqpc=",0)</f>
        <v>0</v>
      </c>
      <c r="EW15" t="e">
        <f>AND('Ark1'!A418,"AAAAAE/fqpg=")</f>
        <v>#VALUE!</v>
      </c>
      <c r="EX15" t="e">
        <f>AND('Ark1'!B418,"AAAAAE/fqpk=")</f>
        <v>#VALUE!</v>
      </c>
      <c r="EY15" t="e">
        <f>AND('Ark1'!C418,"AAAAAE/fqpo=")</f>
        <v>#VALUE!</v>
      </c>
      <c r="EZ15" t="e">
        <f>AND('Ark1'!D418,"AAAAAE/fqps=")</f>
        <v>#VALUE!</v>
      </c>
      <c r="FA15" t="e">
        <f>AND('Ark1'!E418,"AAAAAE/fqpw=")</f>
        <v>#VALUE!</v>
      </c>
      <c r="FB15" t="e">
        <f>AND('Ark1'!F418,"AAAAAE/fqp0=")</f>
        <v>#VALUE!</v>
      </c>
      <c r="FC15" t="e">
        <f>AND('Ark1'!G418,"AAAAAE/fqp4=")</f>
        <v>#VALUE!</v>
      </c>
      <c r="FD15" t="e">
        <f>AND('Ark1'!H418,"AAAAAE/fqp8=")</f>
        <v>#VALUE!</v>
      </c>
      <c r="FE15">
        <f>IF('Ark1'!419:419,"AAAAAE/fqqA=",0)</f>
        <v>0</v>
      </c>
      <c r="FF15" t="e">
        <f>AND('Ark1'!A419,"AAAAAE/fqqE=")</f>
        <v>#VALUE!</v>
      </c>
      <c r="FG15" t="e">
        <f>AND('Ark1'!B419,"AAAAAE/fqqI=")</f>
        <v>#VALUE!</v>
      </c>
      <c r="FH15" t="e">
        <f>AND('Ark1'!C419,"AAAAAE/fqqM=")</f>
        <v>#VALUE!</v>
      </c>
      <c r="FI15" t="e">
        <f>AND('Ark1'!D419,"AAAAAE/fqqQ=")</f>
        <v>#VALUE!</v>
      </c>
      <c r="FJ15" t="e">
        <f>AND('Ark1'!E419,"AAAAAE/fqqU=")</f>
        <v>#VALUE!</v>
      </c>
      <c r="FK15" t="e">
        <f>AND('Ark1'!F419,"AAAAAE/fqqY=")</f>
        <v>#VALUE!</v>
      </c>
      <c r="FL15" t="e">
        <f>AND('Ark1'!G419,"AAAAAE/fqqc=")</f>
        <v>#VALUE!</v>
      </c>
      <c r="FM15" t="e">
        <f>AND('Ark1'!H419,"AAAAAE/fqqg=")</f>
        <v>#VALUE!</v>
      </c>
      <c r="FN15">
        <f>IF('Ark1'!420:420,"AAAAAE/fqqk=",0)</f>
        <v>0</v>
      </c>
      <c r="FO15" t="e">
        <f>AND('Ark1'!A420,"AAAAAE/fqqo=")</f>
        <v>#VALUE!</v>
      </c>
      <c r="FP15" t="e">
        <f>AND('Ark1'!B420,"AAAAAE/fqqs=")</f>
        <v>#VALUE!</v>
      </c>
      <c r="FQ15" t="e">
        <f>AND('Ark1'!C420,"AAAAAE/fqqw=")</f>
        <v>#VALUE!</v>
      </c>
      <c r="FR15" t="e">
        <f>AND('Ark1'!D420,"AAAAAE/fqq0=")</f>
        <v>#VALUE!</v>
      </c>
      <c r="FS15" t="e">
        <f>AND('Ark1'!E420,"AAAAAE/fqq4=")</f>
        <v>#VALUE!</v>
      </c>
      <c r="FT15" t="e">
        <f>AND('Ark1'!F420,"AAAAAE/fqq8=")</f>
        <v>#VALUE!</v>
      </c>
      <c r="FU15" t="e">
        <f>AND('Ark1'!G420,"AAAAAE/fqrA=")</f>
        <v>#VALUE!</v>
      </c>
      <c r="FV15" t="e">
        <f>AND('Ark1'!H420,"AAAAAE/fqrE=")</f>
        <v>#VALUE!</v>
      </c>
      <c r="FW15">
        <f>IF('Ark1'!421:421,"AAAAAE/fqrI=",0)</f>
        <v>0</v>
      </c>
      <c r="FX15" t="e">
        <f>AND('Ark1'!A421,"AAAAAE/fqrM=")</f>
        <v>#VALUE!</v>
      </c>
      <c r="FY15" t="e">
        <f>AND('Ark1'!B421,"AAAAAE/fqrQ=")</f>
        <v>#VALUE!</v>
      </c>
      <c r="FZ15" t="e">
        <f>AND('Ark1'!C421,"AAAAAE/fqrU=")</f>
        <v>#VALUE!</v>
      </c>
      <c r="GA15" t="e">
        <f>AND('Ark1'!D421,"AAAAAE/fqrY=")</f>
        <v>#VALUE!</v>
      </c>
      <c r="GB15" t="e">
        <f>AND('Ark1'!E421,"AAAAAE/fqrc=")</f>
        <v>#VALUE!</v>
      </c>
      <c r="GC15" t="e">
        <f>AND('Ark1'!F421,"AAAAAE/fqrg=")</f>
        <v>#VALUE!</v>
      </c>
      <c r="GD15" t="e">
        <f>AND('Ark1'!G421,"AAAAAE/fqrk=")</f>
        <v>#VALUE!</v>
      </c>
      <c r="GE15" t="e">
        <f>AND('Ark1'!H421,"AAAAAE/fqro=")</f>
        <v>#VALUE!</v>
      </c>
      <c r="GF15">
        <f>IF('Ark1'!422:422,"AAAAAE/fqrs=",0)</f>
        <v>0</v>
      </c>
      <c r="GG15" t="e">
        <f>AND('Ark1'!A422,"AAAAAE/fqrw=")</f>
        <v>#VALUE!</v>
      </c>
      <c r="GH15" t="e">
        <f>AND('Ark1'!B422,"AAAAAE/fqr0=")</f>
        <v>#VALUE!</v>
      </c>
      <c r="GI15" t="e">
        <f>AND('Ark1'!C422,"AAAAAE/fqr4=")</f>
        <v>#VALUE!</v>
      </c>
      <c r="GJ15" t="e">
        <f>AND('Ark1'!D422,"AAAAAE/fqr8=")</f>
        <v>#VALUE!</v>
      </c>
      <c r="GK15" t="e">
        <f>AND('Ark1'!E422,"AAAAAE/fqsA=")</f>
        <v>#VALUE!</v>
      </c>
      <c r="GL15" t="e">
        <f>AND('Ark1'!F422,"AAAAAE/fqsE=")</f>
        <v>#VALUE!</v>
      </c>
      <c r="GM15" t="e">
        <f>AND('Ark1'!G422,"AAAAAE/fqsI=")</f>
        <v>#VALUE!</v>
      </c>
      <c r="GN15" t="e">
        <f>AND('Ark1'!H422,"AAAAAE/fqsM=")</f>
        <v>#VALUE!</v>
      </c>
      <c r="GO15">
        <f>IF('Ark1'!423:423,"AAAAAE/fqsQ=",0)</f>
        <v>0</v>
      </c>
      <c r="GP15" t="e">
        <f>AND('Ark1'!A423,"AAAAAE/fqsU=")</f>
        <v>#VALUE!</v>
      </c>
      <c r="GQ15" t="e">
        <f>AND('Ark1'!B423,"AAAAAE/fqsY=")</f>
        <v>#VALUE!</v>
      </c>
      <c r="GR15" t="e">
        <f>AND('Ark1'!C423,"AAAAAE/fqsc=")</f>
        <v>#VALUE!</v>
      </c>
      <c r="GS15" t="e">
        <f>AND('Ark1'!D423,"AAAAAE/fqsg=")</f>
        <v>#VALUE!</v>
      </c>
      <c r="GT15" t="e">
        <f>AND('Ark1'!E423,"AAAAAE/fqsk=")</f>
        <v>#VALUE!</v>
      </c>
      <c r="GU15" t="e">
        <f>AND('Ark1'!F423,"AAAAAE/fqso=")</f>
        <v>#VALUE!</v>
      </c>
      <c r="GV15" t="e">
        <f>AND('Ark1'!G423,"AAAAAE/fqss=")</f>
        <v>#VALUE!</v>
      </c>
      <c r="GW15" t="e">
        <f>AND('Ark1'!H423,"AAAAAE/fqsw=")</f>
        <v>#VALUE!</v>
      </c>
      <c r="GX15">
        <f>IF('Ark1'!424:424,"AAAAAE/fqs0=",0)</f>
        <v>0</v>
      </c>
      <c r="GY15" t="e">
        <f>AND('Ark1'!A424,"AAAAAE/fqs4=")</f>
        <v>#VALUE!</v>
      </c>
      <c r="GZ15" t="e">
        <f>AND('Ark1'!B424,"AAAAAE/fqs8=")</f>
        <v>#VALUE!</v>
      </c>
      <c r="HA15" t="e">
        <f>AND('Ark1'!C424,"AAAAAE/fqtA=")</f>
        <v>#VALUE!</v>
      </c>
      <c r="HB15" t="e">
        <f>AND('Ark1'!D424,"AAAAAE/fqtE=")</f>
        <v>#VALUE!</v>
      </c>
      <c r="HC15" t="e">
        <f>AND('Ark1'!E424,"AAAAAE/fqtI=")</f>
        <v>#VALUE!</v>
      </c>
      <c r="HD15" t="e">
        <f>AND('Ark1'!F424,"AAAAAE/fqtM=")</f>
        <v>#VALUE!</v>
      </c>
      <c r="HE15" t="e">
        <f>AND('Ark1'!G424,"AAAAAE/fqtQ=")</f>
        <v>#VALUE!</v>
      </c>
      <c r="HF15" t="e">
        <f>AND('Ark1'!H424,"AAAAAE/fqtU=")</f>
        <v>#VALUE!</v>
      </c>
      <c r="HG15">
        <f>IF('Ark1'!425:425,"AAAAAE/fqtY=",0)</f>
        <v>0</v>
      </c>
      <c r="HH15" t="e">
        <f>AND('Ark1'!A425,"AAAAAE/fqtc=")</f>
        <v>#VALUE!</v>
      </c>
      <c r="HI15" t="e">
        <f>AND('Ark1'!B425,"AAAAAE/fqtg=")</f>
        <v>#VALUE!</v>
      </c>
      <c r="HJ15" t="e">
        <f>AND('Ark1'!C425,"AAAAAE/fqtk=")</f>
        <v>#VALUE!</v>
      </c>
      <c r="HK15" t="e">
        <f>AND('Ark1'!D425,"AAAAAE/fqto=")</f>
        <v>#VALUE!</v>
      </c>
      <c r="HL15" t="e">
        <f>AND('Ark1'!E425,"AAAAAE/fqts=")</f>
        <v>#VALUE!</v>
      </c>
      <c r="HM15" t="e">
        <f>AND('Ark1'!F425,"AAAAAE/fqtw=")</f>
        <v>#VALUE!</v>
      </c>
      <c r="HN15" t="e">
        <f>AND('Ark1'!G425,"AAAAAE/fqt0=")</f>
        <v>#VALUE!</v>
      </c>
      <c r="HO15" t="e">
        <f>AND('Ark1'!H425,"AAAAAE/fqt4=")</f>
        <v>#VALUE!</v>
      </c>
      <c r="HP15">
        <f>IF('Ark1'!426:426,"AAAAAE/fqt8=",0)</f>
        <v>0</v>
      </c>
      <c r="HQ15" t="e">
        <f>AND('Ark1'!A426,"AAAAAE/fquA=")</f>
        <v>#VALUE!</v>
      </c>
      <c r="HR15" t="e">
        <f>AND('Ark1'!B426,"AAAAAE/fquE=")</f>
        <v>#VALUE!</v>
      </c>
      <c r="HS15" t="e">
        <f>AND('Ark1'!C426,"AAAAAE/fquI=")</f>
        <v>#VALUE!</v>
      </c>
      <c r="HT15" t="e">
        <f>AND('Ark1'!D426,"AAAAAE/fquM=")</f>
        <v>#VALUE!</v>
      </c>
      <c r="HU15" t="e">
        <f>AND('Ark1'!E426,"AAAAAE/fquQ=")</f>
        <v>#VALUE!</v>
      </c>
      <c r="HV15" t="e">
        <f>AND('Ark1'!F426,"AAAAAE/fquU=")</f>
        <v>#VALUE!</v>
      </c>
      <c r="HW15" t="e">
        <f>AND('Ark1'!G426,"AAAAAE/fquY=")</f>
        <v>#VALUE!</v>
      </c>
      <c r="HX15" t="e">
        <f>AND('Ark1'!H426,"AAAAAE/fquc=")</f>
        <v>#VALUE!</v>
      </c>
      <c r="HY15">
        <f>IF('Ark1'!427:427,"AAAAAE/fqug=",0)</f>
        <v>0</v>
      </c>
      <c r="HZ15" t="e">
        <f>AND('Ark1'!A427,"AAAAAE/fquk=")</f>
        <v>#VALUE!</v>
      </c>
      <c r="IA15" t="e">
        <f>AND('Ark1'!B427,"AAAAAE/fquo=")</f>
        <v>#VALUE!</v>
      </c>
      <c r="IB15" t="e">
        <f>AND('Ark1'!C427,"AAAAAE/fqus=")</f>
        <v>#VALUE!</v>
      </c>
      <c r="IC15" t="e">
        <f>AND('Ark1'!D427,"AAAAAE/fquw=")</f>
        <v>#VALUE!</v>
      </c>
      <c r="ID15" t="e">
        <f>AND('Ark1'!E427,"AAAAAE/fqu0=")</f>
        <v>#VALUE!</v>
      </c>
      <c r="IE15" t="e">
        <f>AND('Ark1'!F427,"AAAAAE/fqu4=")</f>
        <v>#VALUE!</v>
      </c>
      <c r="IF15" t="e">
        <f>AND('Ark1'!G427,"AAAAAE/fqu8=")</f>
        <v>#VALUE!</v>
      </c>
      <c r="IG15" t="e">
        <f>AND('Ark1'!H427,"AAAAAE/fqvA=")</f>
        <v>#VALUE!</v>
      </c>
      <c r="IH15">
        <f>IF('Ark1'!428:428,"AAAAAE/fqvE=",0)</f>
        <v>0</v>
      </c>
      <c r="II15" t="e">
        <f>AND('Ark1'!A428,"AAAAAE/fqvI=")</f>
        <v>#VALUE!</v>
      </c>
      <c r="IJ15" t="e">
        <f>AND('Ark1'!B428,"AAAAAE/fqvM=")</f>
        <v>#VALUE!</v>
      </c>
      <c r="IK15" t="e">
        <f>AND('Ark1'!C428,"AAAAAE/fqvQ=")</f>
        <v>#VALUE!</v>
      </c>
      <c r="IL15" t="e">
        <f>AND('Ark1'!D428,"AAAAAE/fqvU=")</f>
        <v>#VALUE!</v>
      </c>
      <c r="IM15" t="e">
        <f>AND('Ark1'!E428,"AAAAAE/fqvY=")</f>
        <v>#VALUE!</v>
      </c>
      <c r="IN15" t="e">
        <f>AND('Ark1'!F428,"AAAAAE/fqvc=")</f>
        <v>#VALUE!</v>
      </c>
      <c r="IO15" t="e">
        <f>AND('Ark1'!G428,"AAAAAE/fqvg=")</f>
        <v>#VALUE!</v>
      </c>
      <c r="IP15" t="e">
        <f>AND('Ark1'!H428,"AAAAAE/fqvk=")</f>
        <v>#VALUE!</v>
      </c>
      <c r="IQ15">
        <f>IF('Ark1'!429:429,"AAAAAE/fqvo=",0)</f>
        <v>0</v>
      </c>
      <c r="IR15" t="e">
        <f>AND('Ark1'!A429,"AAAAAE/fqvs=")</f>
        <v>#VALUE!</v>
      </c>
      <c r="IS15" t="e">
        <f>AND('Ark1'!B429,"AAAAAE/fqvw=")</f>
        <v>#VALUE!</v>
      </c>
      <c r="IT15" t="e">
        <f>AND('Ark1'!C429,"AAAAAE/fqv0=")</f>
        <v>#VALUE!</v>
      </c>
      <c r="IU15" t="e">
        <f>AND('Ark1'!D429,"AAAAAE/fqv4=")</f>
        <v>#VALUE!</v>
      </c>
      <c r="IV15" t="e">
        <f>AND('Ark1'!E429,"AAAAAE/fqv8=")</f>
        <v>#VALUE!</v>
      </c>
    </row>
    <row r="16" spans="1:256" x14ac:dyDescent="0.25">
      <c r="A16" t="e">
        <f>AND('Ark1'!F429,"AAAAAH39/wA=")</f>
        <v>#VALUE!</v>
      </c>
      <c r="B16" t="e">
        <f>AND('Ark1'!G429,"AAAAAH39/wE=")</f>
        <v>#VALUE!</v>
      </c>
      <c r="C16" t="e">
        <f>AND('Ark1'!H429,"AAAAAH39/wI=")</f>
        <v>#VALUE!</v>
      </c>
      <c r="D16">
        <f>IF('Ark1'!430:430,"AAAAAH39/wM=",0)</f>
        <v>0</v>
      </c>
      <c r="E16" t="e">
        <f>AND('Ark1'!A430,"AAAAAH39/wQ=")</f>
        <v>#VALUE!</v>
      </c>
      <c r="F16" t="e">
        <f>AND('Ark1'!B430,"AAAAAH39/wU=")</f>
        <v>#VALUE!</v>
      </c>
      <c r="G16" t="e">
        <f>AND('Ark1'!C430,"AAAAAH39/wY=")</f>
        <v>#VALUE!</v>
      </c>
      <c r="H16" t="e">
        <f>AND('Ark1'!D430,"AAAAAH39/wc=")</f>
        <v>#VALUE!</v>
      </c>
      <c r="I16" t="e">
        <f>AND('Ark1'!E430,"AAAAAH39/wg=")</f>
        <v>#VALUE!</v>
      </c>
      <c r="J16" t="e">
        <f>AND('Ark1'!F430,"AAAAAH39/wk=")</f>
        <v>#VALUE!</v>
      </c>
      <c r="K16" t="e">
        <f>AND('Ark1'!G430,"AAAAAH39/wo=")</f>
        <v>#VALUE!</v>
      </c>
      <c r="L16" t="e">
        <f>AND('Ark1'!H430,"AAAAAH39/ws=")</f>
        <v>#VALUE!</v>
      </c>
      <c r="M16">
        <f>IF('Ark1'!431:431,"AAAAAH39/ww=",0)</f>
        <v>0</v>
      </c>
      <c r="N16" t="e">
        <f>AND('Ark1'!A431,"AAAAAH39/w0=")</f>
        <v>#VALUE!</v>
      </c>
      <c r="O16" t="e">
        <f>AND('Ark1'!B431,"AAAAAH39/w4=")</f>
        <v>#VALUE!</v>
      </c>
      <c r="P16" t="e">
        <f>AND('Ark1'!C431,"AAAAAH39/w8=")</f>
        <v>#VALUE!</v>
      </c>
      <c r="Q16" t="e">
        <f>AND('Ark1'!D431,"AAAAAH39/xA=")</f>
        <v>#VALUE!</v>
      </c>
      <c r="R16" t="e">
        <f>AND('Ark1'!E431,"AAAAAH39/xE=")</f>
        <v>#VALUE!</v>
      </c>
      <c r="S16" t="e">
        <f>AND('Ark1'!F431,"AAAAAH39/xI=")</f>
        <v>#VALUE!</v>
      </c>
      <c r="T16" t="e">
        <f>AND('Ark1'!G431,"AAAAAH39/xM=")</f>
        <v>#VALUE!</v>
      </c>
      <c r="U16" t="e">
        <f>AND('Ark1'!H431,"AAAAAH39/xQ=")</f>
        <v>#VALUE!</v>
      </c>
      <c r="V16">
        <f>IF('Ark1'!432:432,"AAAAAH39/xU=",0)</f>
        <v>0</v>
      </c>
      <c r="W16" t="e">
        <f>AND('Ark1'!A432,"AAAAAH39/xY=")</f>
        <v>#VALUE!</v>
      </c>
      <c r="X16" t="e">
        <f>AND('Ark1'!B432,"AAAAAH39/xc=")</f>
        <v>#VALUE!</v>
      </c>
      <c r="Y16" t="e">
        <f>AND('Ark1'!C432,"AAAAAH39/xg=")</f>
        <v>#VALUE!</v>
      </c>
      <c r="Z16" t="e">
        <f>AND('Ark1'!D432,"AAAAAH39/xk=")</f>
        <v>#VALUE!</v>
      </c>
      <c r="AA16" t="e">
        <f>AND('Ark1'!E432,"AAAAAH39/xo=")</f>
        <v>#VALUE!</v>
      </c>
      <c r="AB16" t="e">
        <f>AND('Ark1'!F432,"AAAAAH39/xs=")</f>
        <v>#VALUE!</v>
      </c>
      <c r="AC16" t="e">
        <f>AND('Ark1'!G432,"AAAAAH39/xw=")</f>
        <v>#VALUE!</v>
      </c>
      <c r="AD16" t="e">
        <f>AND('Ark1'!H432,"AAAAAH39/x0=")</f>
        <v>#VALUE!</v>
      </c>
      <c r="AE16">
        <f>IF('Ark1'!433:433,"AAAAAH39/x4=",0)</f>
        <v>0</v>
      </c>
      <c r="AF16" t="e">
        <f>AND('Ark1'!A433,"AAAAAH39/x8=")</f>
        <v>#VALUE!</v>
      </c>
      <c r="AG16" t="e">
        <f>AND('Ark1'!B433,"AAAAAH39/yA=")</f>
        <v>#VALUE!</v>
      </c>
      <c r="AH16" t="e">
        <f>AND('Ark1'!C433,"AAAAAH39/yE=")</f>
        <v>#VALUE!</v>
      </c>
      <c r="AI16" t="e">
        <f>AND('Ark1'!D433,"AAAAAH39/yI=")</f>
        <v>#VALUE!</v>
      </c>
      <c r="AJ16" t="e">
        <f>AND('Ark1'!E433,"AAAAAH39/yM=")</f>
        <v>#VALUE!</v>
      </c>
      <c r="AK16" t="e">
        <f>AND('Ark1'!F433,"AAAAAH39/yQ=")</f>
        <v>#VALUE!</v>
      </c>
      <c r="AL16" t="e">
        <f>AND('Ark1'!G433,"AAAAAH39/yU=")</f>
        <v>#VALUE!</v>
      </c>
      <c r="AM16" t="e">
        <f>AND('Ark1'!H433,"AAAAAH39/yY=")</f>
        <v>#VALUE!</v>
      </c>
      <c r="AN16">
        <f>IF('Ark1'!434:434,"AAAAAH39/yc=",0)</f>
        <v>0</v>
      </c>
      <c r="AO16" t="e">
        <f>AND('Ark1'!A434,"AAAAAH39/yg=")</f>
        <v>#VALUE!</v>
      </c>
      <c r="AP16" t="e">
        <f>AND('Ark1'!B434,"AAAAAH39/yk=")</f>
        <v>#VALUE!</v>
      </c>
      <c r="AQ16" t="e">
        <f>AND('Ark1'!C434,"AAAAAH39/yo=")</f>
        <v>#VALUE!</v>
      </c>
      <c r="AR16" t="e">
        <f>AND('Ark1'!D434,"AAAAAH39/ys=")</f>
        <v>#VALUE!</v>
      </c>
      <c r="AS16" t="e">
        <f>AND('Ark1'!E434,"AAAAAH39/yw=")</f>
        <v>#VALUE!</v>
      </c>
      <c r="AT16" t="e">
        <f>AND('Ark1'!F434,"AAAAAH39/y0=")</f>
        <v>#VALUE!</v>
      </c>
      <c r="AU16" t="e">
        <f>AND('Ark1'!G434,"AAAAAH39/y4=")</f>
        <v>#VALUE!</v>
      </c>
      <c r="AV16" t="e">
        <f>AND('Ark1'!H434,"AAAAAH39/y8=")</f>
        <v>#VALUE!</v>
      </c>
      <c r="AW16">
        <f>IF('Ark1'!435:435,"AAAAAH39/zA=",0)</f>
        <v>0</v>
      </c>
      <c r="AX16" t="e">
        <f>AND('Ark1'!A435,"AAAAAH39/zE=")</f>
        <v>#VALUE!</v>
      </c>
      <c r="AY16" t="e">
        <f>AND('Ark1'!B435,"AAAAAH39/zI=")</f>
        <v>#VALUE!</v>
      </c>
      <c r="AZ16" t="e">
        <f>AND('Ark1'!C435,"AAAAAH39/zM=")</f>
        <v>#VALUE!</v>
      </c>
      <c r="BA16" t="e">
        <f>AND('Ark1'!D435,"AAAAAH39/zQ=")</f>
        <v>#VALUE!</v>
      </c>
      <c r="BB16" t="e">
        <f>AND('Ark1'!E435,"AAAAAH39/zU=")</f>
        <v>#VALUE!</v>
      </c>
      <c r="BC16" t="e">
        <f>AND('Ark1'!F435,"AAAAAH39/zY=")</f>
        <v>#VALUE!</v>
      </c>
      <c r="BD16" t="e">
        <f>AND('Ark1'!G435,"AAAAAH39/zc=")</f>
        <v>#VALUE!</v>
      </c>
      <c r="BE16" t="e">
        <f>AND('Ark1'!H435,"AAAAAH39/zg=")</f>
        <v>#VALUE!</v>
      </c>
      <c r="BF16">
        <f>IF('Ark1'!436:436,"AAAAAH39/zk=",0)</f>
        <v>0</v>
      </c>
      <c r="BG16" t="e">
        <f>AND('Ark1'!A436,"AAAAAH39/zo=")</f>
        <v>#VALUE!</v>
      </c>
      <c r="BH16" t="e">
        <f>AND('Ark1'!B436,"AAAAAH39/zs=")</f>
        <v>#VALUE!</v>
      </c>
      <c r="BI16" t="e">
        <f>AND('Ark1'!C436,"AAAAAH39/zw=")</f>
        <v>#VALUE!</v>
      </c>
      <c r="BJ16" t="e">
        <f>AND('Ark1'!D436,"AAAAAH39/z0=")</f>
        <v>#VALUE!</v>
      </c>
      <c r="BK16" t="e">
        <f>AND('Ark1'!E436,"AAAAAH39/z4=")</f>
        <v>#VALUE!</v>
      </c>
      <c r="BL16" t="e">
        <f>AND('Ark1'!F436,"AAAAAH39/z8=")</f>
        <v>#VALUE!</v>
      </c>
      <c r="BM16" t="e">
        <f>AND('Ark1'!G436,"AAAAAH39/0A=")</f>
        <v>#VALUE!</v>
      </c>
      <c r="BN16" t="e">
        <f>AND('Ark1'!H436,"AAAAAH39/0E=")</f>
        <v>#VALUE!</v>
      </c>
      <c r="BO16">
        <f>IF('Ark1'!438:438,"AAAAAH39/0I=",0)</f>
        <v>0</v>
      </c>
      <c r="BP16" t="e">
        <f>AND('Ark1'!A438,"AAAAAH39/0M=")</f>
        <v>#VALUE!</v>
      </c>
      <c r="BQ16" t="e">
        <f>AND('Ark1'!B438,"AAAAAH39/0Q=")</f>
        <v>#VALUE!</v>
      </c>
      <c r="BR16" t="e">
        <f>AND('Ark1'!C438,"AAAAAH39/0U=")</f>
        <v>#VALUE!</v>
      </c>
      <c r="BS16" t="e">
        <f>AND('Ark1'!D438,"AAAAAH39/0Y=")</f>
        <v>#VALUE!</v>
      </c>
      <c r="BT16" t="e">
        <f>AND('Ark1'!E438,"AAAAAH39/0c=")</f>
        <v>#VALUE!</v>
      </c>
      <c r="BU16" t="e">
        <f>AND('Ark1'!F438,"AAAAAH39/0g=")</f>
        <v>#VALUE!</v>
      </c>
      <c r="BV16" t="e">
        <f>AND('Ark1'!G438,"AAAAAH39/0k=")</f>
        <v>#VALUE!</v>
      </c>
      <c r="BW16" t="e">
        <f>AND('Ark1'!H438,"AAAAAH39/0o=")</f>
        <v>#VALUE!</v>
      </c>
      <c r="BX16">
        <f>IF('Ark1'!439:439,"AAAAAH39/0s=",0)</f>
        <v>0</v>
      </c>
      <c r="BY16" t="e">
        <f>AND('Ark1'!A439,"AAAAAH39/0w=")</f>
        <v>#VALUE!</v>
      </c>
      <c r="BZ16" t="e">
        <f>AND('Ark1'!B439,"AAAAAH39/00=")</f>
        <v>#VALUE!</v>
      </c>
      <c r="CA16" t="e">
        <f>AND('Ark1'!C439,"AAAAAH39/04=")</f>
        <v>#VALUE!</v>
      </c>
      <c r="CB16" t="e">
        <f>AND('Ark1'!D439,"AAAAAH39/08=")</f>
        <v>#VALUE!</v>
      </c>
      <c r="CC16" t="e">
        <f>AND('Ark1'!E439,"AAAAAH39/1A=")</f>
        <v>#VALUE!</v>
      </c>
      <c r="CD16" t="e">
        <f>AND('Ark1'!F439,"AAAAAH39/1E=")</f>
        <v>#VALUE!</v>
      </c>
      <c r="CE16" t="e">
        <f>AND('Ark1'!G439,"AAAAAH39/1I=")</f>
        <v>#VALUE!</v>
      </c>
      <c r="CF16" t="e">
        <f>AND('Ark1'!H439,"AAAAAH39/1M=")</f>
        <v>#VALUE!</v>
      </c>
      <c r="CG16">
        <f>IF('Ark1'!440:440,"AAAAAH39/1Q=",0)</f>
        <v>0</v>
      </c>
      <c r="CH16" t="e">
        <f>AND('Ark1'!A440,"AAAAAH39/1U=")</f>
        <v>#VALUE!</v>
      </c>
      <c r="CI16" t="e">
        <f>AND('Ark1'!B440,"AAAAAH39/1Y=")</f>
        <v>#VALUE!</v>
      </c>
      <c r="CJ16" t="e">
        <f>AND('Ark1'!C440,"AAAAAH39/1c=")</f>
        <v>#VALUE!</v>
      </c>
      <c r="CK16" t="e">
        <f>AND('Ark1'!D440,"AAAAAH39/1g=")</f>
        <v>#VALUE!</v>
      </c>
      <c r="CL16" t="e">
        <f>AND('Ark1'!E440,"AAAAAH39/1k=")</f>
        <v>#VALUE!</v>
      </c>
      <c r="CM16" t="e">
        <f>AND('Ark1'!F440,"AAAAAH39/1o=")</f>
        <v>#VALUE!</v>
      </c>
      <c r="CN16" t="e">
        <f>AND('Ark1'!G440,"AAAAAH39/1s=")</f>
        <v>#VALUE!</v>
      </c>
      <c r="CO16" t="e">
        <f>AND('Ark1'!H440,"AAAAAH39/1w=")</f>
        <v>#VALUE!</v>
      </c>
      <c r="CP16">
        <f>IF('Ark1'!441:441,"AAAAAH39/10=",0)</f>
        <v>0</v>
      </c>
      <c r="CQ16" t="e">
        <f>AND('Ark1'!A441,"AAAAAH39/14=")</f>
        <v>#VALUE!</v>
      </c>
      <c r="CR16" t="e">
        <f>AND('Ark1'!B441,"AAAAAH39/18=")</f>
        <v>#VALUE!</v>
      </c>
      <c r="CS16" t="e">
        <f>AND('Ark1'!C441,"AAAAAH39/2A=")</f>
        <v>#VALUE!</v>
      </c>
      <c r="CT16" t="e">
        <f>AND('Ark1'!D441,"AAAAAH39/2E=")</f>
        <v>#VALUE!</v>
      </c>
      <c r="CU16" t="e">
        <f>AND('Ark1'!E441,"AAAAAH39/2I=")</f>
        <v>#VALUE!</v>
      </c>
      <c r="CV16" t="e">
        <f>AND('Ark1'!F441,"AAAAAH39/2M=")</f>
        <v>#VALUE!</v>
      </c>
      <c r="CW16" t="e">
        <f>AND('Ark1'!G441,"AAAAAH39/2Q=")</f>
        <v>#VALUE!</v>
      </c>
      <c r="CX16" t="e">
        <f>AND('Ark1'!H441,"AAAAAH39/2U=")</f>
        <v>#VALUE!</v>
      </c>
      <c r="CY16">
        <f>IF('Ark1'!442:442,"AAAAAH39/2Y=",0)</f>
        <v>0</v>
      </c>
      <c r="CZ16" t="e">
        <f>AND('Ark1'!A442,"AAAAAH39/2c=")</f>
        <v>#VALUE!</v>
      </c>
      <c r="DA16" t="e">
        <f>AND('Ark1'!B442,"AAAAAH39/2g=")</f>
        <v>#VALUE!</v>
      </c>
      <c r="DB16" t="e">
        <f>AND('Ark1'!C442,"AAAAAH39/2k=")</f>
        <v>#VALUE!</v>
      </c>
      <c r="DC16" t="e">
        <f>AND('Ark1'!D442,"AAAAAH39/2o=")</f>
        <v>#VALUE!</v>
      </c>
      <c r="DD16" t="e">
        <f>AND('Ark1'!E442,"AAAAAH39/2s=")</f>
        <v>#VALUE!</v>
      </c>
      <c r="DE16" t="e">
        <f>AND('Ark1'!F442,"AAAAAH39/2w=")</f>
        <v>#VALUE!</v>
      </c>
      <c r="DF16" t="e">
        <f>AND('Ark1'!G442,"AAAAAH39/20=")</f>
        <v>#VALUE!</v>
      </c>
      <c r="DG16" t="e">
        <f>AND('Ark1'!H442,"AAAAAH39/24=")</f>
        <v>#VALUE!</v>
      </c>
      <c r="DH16">
        <f>IF('Ark1'!443:443,"AAAAAH39/28=",0)</f>
        <v>0</v>
      </c>
      <c r="DI16" t="e">
        <f>AND('Ark1'!A443,"AAAAAH39/3A=")</f>
        <v>#VALUE!</v>
      </c>
      <c r="DJ16" t="e">
        <f>AND('Ark1'!B443,"AAAAAH39/3E=")</f>
        <v>#VALUE!</v>
      </c>
      <c r="DK16" t="e">
        <f>AND('Ark1'!C443,"AAAAAH39/3I=")</f>
        <v>#VALUE!</v>
      </c>
      <c r="DL16" t="e">
        <f>AND('Ark1'!D443,"AAAAAH39/3M=")</f>
        <v>#VALUE!</v>
      </c>
      <c r="DM16" t="e">
        <f>AND('Ark1'!E443,"AAAAAH39/3Q=")</f>
        <v>#VALUE!</v>
      </c>
      <c r="DN16" t="e">
        <f>AND('Ark1'!F443,"AAAAAH39/3U=")</f>
        <v>#VALUE!</v>
      </c>
      <c r="DO16" t="e">
        <f>AND('Ark1'!G443,"AAAAAH39/3Y=")</f>
        <v>#VALUE!</v>
      </c>
      <c r="DP16" t="e">
        <f>AND('Ark1'!H443,"AAAAAH39/3c=")</f>
        <v>#VALUE!</v>
      </c>
      <c r="DQ16">
        <f>IF('Ark1'!444:444,"AAAAAH39/3g=",0)</f>
        <v>0</v>
      </c>
      <c r="DR16" t="e">
        <f>AND('Ark1'!A444,"AAAAAH39/3k=")</f>
        <v>#VALUE!</v>
      </c>
      <c r="DS16" t="e">
        <f>AND('Ark1'!B444,"AAAAAH39/3o=")</f>
        <v>#VALUE!</v>
      </c>
      <c r="DT16" t="e">
        <f>AND('Ark1'!C444,"AAAAAH39/3s=")</f>
        <v>#VALUE!</v>
      </c>
      <c r="DU16" t="e">
        <f>AND('Ark1'!D444,"AAAAAH39/3w=")</f>
        <v>#VALUE!</v>
      </c>
      <c r="DV16" t="e">
        <f>AND('Ark1'!E444,"AAAAAH39/30=")</f>
        <v>#VALUE!</v>
      </c>
      <c r="DW16" t="e">
        <f>AND('Ark1'!F444,"AAAAAH39/34=")</f>
        <v>#VALUE!</v>
      </c>
      <c r="DX16" t="e">
        <f>AND('Ark1'!G444,"AAAAAH39/38=")</f>
        <v>#VALUE!</v>
      </c>
      <c r="DY16" t="e">
        <f>AND('Ark1'!H444,"AAAAAH39/4A=")</f>
        <v>#VALUE!</v>
      </c>
      <c r="DZ16">
        <f>IF('Ark1'!445:445,"AAAAAH39/4E=",0)</f>
        <v>0</v>
      </c>
      <c r="EA16" t="e">
        <f>AND('Ark1'!A445,"AAAAAH39/4I=")</f>
        <v>#VALUE!</v>
      </c>
      <c r="EB16" t="e">
        <f>AND('Ark1'!B445,"AAAAAH39/4M=")</f>
        <v>#VALUE!</v>
      </c>
      <c r="EC16" t="e">
        <f>AND('Ark1'!C445,"AAAAAH39/4Q=")</f>
        <v>#VALUE!</v>
      </c>
      <c r="ED16" t="e">
        <f>AND('Ark1'!D445,"AAAAAH39/4U=")</f>
        <v>#VALUE!</v>
      </c>
      <c r="EE16" t="e">
        <f>AND('Ark1'!E445,"AAAAAH39/4Y=")</f>
        <v>#VALUE!</v>
      </c>
      <c r="EF16" t="e">
        <f>AND('Ark1'!F445,"AAAAAH39/4c=")</f>
        <v>#VALUE!</v>
      </c>
      <c r="EG16" t="e">
        <f>AND('Ark1'!G445,"AAAAAH39/4g=")</f>
        <v>#VALUE!</v>
      </c>
      <c r="EH16" t="e">
        <f>AND('Ark1'!H445,"AAAAAH39/4k=")</f>
        <v>#VALUE!</v>
      </c>
      <c r="EI16">
        <f>IF('Ark1'!446:446,"AAAAAH39/4o=",0)</f>
        <v>0</v>
      </c>
      <c r="EJ16" t="e">
        <f>AND('Ark1'!A446,"AAAAAH39/4s=")</f>
        <v>#VALUE!</v>
      </c>
      <c r="EK16" t="e">
        <f>AND('Ark1'!B446,"AAAAAH39/4w=")</f>
        <v>#VALUE!</v>
      </c>
      <c r="EL16" t="e">
        <f>AND('Ark1'!C446,"AAAAAH39/40=")</f>
        <v>#VALUE!</v>
      </c>
      <c r="EM16" t="e">
        <f>AND('Ark1'!D446,"AAAAAH39/44=")</f>
        <v>#VALUE!</v>
      </c>
      <c r="EN16" t="e">
        <f>AND('Ark1'!E446,"AAAAAH39/48=")</f>
        <v>#VALUE!</v>
      </c>
      <c r="EO16" t="e">
        <f>AND('Ark1'!F446,"AAAAAH39/5A=")</f>
        <v>#VALUE!</v>
      </c>
      <c r="EP16" t="e">
        <f>AND('Ark1'!G446,"AAAAAH39/5E=")</f>
        <v>#VALUE!</v>
      </c>
      <c r="EQ16" t="e">
        <f>AND('Ark1'!H446,"AAAAAH39/5I=")</f>
        <v>#VALUE!</v>
      </c>
      <c r="ER16">
        <f>IF('Ark1'!447:447,"AAAAAH39/5M=",0)</f>
        <v>0</v>
      </c>
      <c r="ES16" t="e">
        <f>AND('Ark1'!A447,"AAAAAH39/5Q=")</f>
        <v>#VALUE!</v>
      </c>
      <c r="ET16" t="e">
        <f>AND('Ark1'!B447,"AAAAAH39/5U=")</f>
        <v>#VALUE!</v>
      </c>
      <c r="EU16" t="e">
        <f>AND('Ark1'!C447,"AAAAAH39/5Y=")</f>
        <v>#VALUE!</v>
      </c>
      <c r="EV16" t="e">
        <f>AND('Ark1'!D447,"AAAAAH39/5c=")</f>
        <v>#VALUE!</v>
      </c>
      <c r="EW16" t="e">
        <f>AND('Ark1'!E447,"AAAAAH39/5g=")</f>
        <v>#VALUE!</v>
      </c>
      <c r="EX16" t="e">
        <f>AND('Ark1'!F447,"AAAAAH39/5k=")</f>
        <v>#VALUE!</v>
      </c>
      <c r="EY16" t="e">
        <f>AND('Ark1'!G447,"AAAAAH39/5o=")</f>
        <v>#VALUE!</v>
      </c>
      <c r="EZ16" t="e">
        <f>AND('Ark1'!H447,"AAAAAH39/5s=")</f>
        <v>#VALUE!</v>
      </c>
      <c r="FA16">
        <f>IF('Ark1'!448:448,"AAAAAH39/5w=",0)</f>
        <v>0</v>
      </c>
      <c r="FB16" t="e">
        <f>AND('Ark1'!A448,"AAAAAH39/50=")</f>
        <v>#VALUE!</v>
      </c>
      <c r="FC16" t="e">
        <f>AND('Ark1'!B448,"AAAAAH39/54=")</f>
        <v>#VALUE!</v>
      </c>
      <c r="FD16" t="e">
        <f>AND('Ark1'!C448,"AAAAAH39/58=")</f>
        <v>#VALUE!</v>
      </c>
      <c r="FE16" t="e">
        <f>AND('Ark1'!D448,"AAAAAH39/6A=")</f>
        <v>#VALUE!</v>
      </c>
      <c r="FF16" t="e">
        <f>AND('Ark1'!E448,"AAAAAH39/6E=")</f>
        <v>#VALUE!</v>
      </c>
      <c r="FG16" t="e">
        <f>AND('Ark1'!F448,"AAAAAH39/6I=")</f>
        <v>#VALUE!</v>
      </c>
      <c r="FH16" t="e">
        <f>AND('Ark1'!G448,"AAAAAH39/6M=")</f>
        <v>#VALUE!</v>
      </c>
      <c r="FI16" t="e">
        <f>AND('Ark1'!H448,"AAAAAH39/6Q=")</f>
        <v>#VALUE!</v>
      </c>
      <c r="FJ16">
        <f>IF('Ark1'!449:449,"AAAAAH39/6U=",0)</f>
        <v>0</v>
      </c>
      <c r="FK16" t="e">
        <f>AND('Ark1'!A449,"AAAAAH39/6Y=")</f>
        <v>#VALUE!</v>
      </c>
      <c r="FL16" t="e">
        <f>AND('Ark1'!B449,"AAAAAH39/6c=")</f>
        <v>#VALUE!</v>
      </c>
      <c r="FM16" t="e">
        <f>AND('Ark1'!C449,"AAAAAH39/6g=")</f>
        <v>#VALUE!</v>
      </c>
      <c r="FN16" t="e">
        <f>AND('Ark1'!D449,"AAAAAH39/6k=")</f>
        <v>#VALUE!</v>
      </c>
      <c r="FO16" t="e">
        <f>AND('Ark1'!E449,"AAAAAH39/6o=")</f>
        <v>#VALUE!</v>
      </c>
      <c r="FP16" t="e">
        <f>AND('Ark1'!F449,"AAAAAH39/6s=")</f>
        <v>#VALUE!</v>
      </c>
      <c r="FQ16" t="e">
        <f>AND('Ark1'!G449,"AAAAAH39/6w=")</f>
        <v>#VALUE!</v>
      </c>
      <c r="FR16" t="e">
        <f>AND('Ark1'!H449,"AAAAAH39/60=")</f>
        <v>#VALUE!</v>
      </c>
      <c r="FS16">
        <f>IF('Ark1'!450:450,"AAAAAH39/64=",0)</f>
        <v>0</v>
      </c>
      <c r="FT16" t="e">
        <f>AND('Ark1'!A450,"AAAAAH39/68=")</f>
        <v>#VALUE!</v>
      </c>
      <c r="FU16" t="e">
        <f>AND('Ark1'!B450,"AAAAAH39/7A=")</f>
        <v>#VALUE!</v>
      </c>
      <c r="FV16" t="e">
        <f>AND('Ark1'!C450,"AAAAAH39/7E=")</f>
        <v>#VALUE!</v>
      </c>
      <c r="FW16" t="e">
        <f>AND('Ark1'!D450,"AAAAAH39/7I=")</f>
        <v>#VALUE!</v>
      </c>
      <c r="FX16" t="e">
        <f>AND('Ark1'!E450,"AAAAAH39/7M=")</f>
        <v>#VALUE!</v>
      </c>
      <c r="FY16" t="e">
        <f>AND('Ark1'!F450,"AAAAAH39/7Q=")</f>
        <v>#VALUE!</v>
      </c>
      <c r="FZ16" t="e">
        <f>AND('Ark1'!G450,"AAAAAH39/7U=")</f>
        <v>#VALUE!</v>
      </c>
      <c r="GA16" t="e">
        <f>AND('Ark1'!H450,"AAAAAH39/7Y=")</f>
        <v>#VALUE!</v>
      </c>
      <c r="GB16">
        <f>IF('Ark1'!451:451,"AAAAAH39/7c=",0)</f>
        <v>0</v>
      </c>
      <c r="GC16" t="e">
        <f>AND('Ark1'!A451,"AAAAAH39/7g=")</f>
        <v>#VALUE!</v>
      </c>
      <c r="GD16" t="e">
        <f>AND('Ark1'!B451,"AAAAAH39/7k=")</f>
        <v>#VALUE!</v>
      </c>
      <c r="GE16" t="e">
        <f>AND('Ark1'!C451,"AAAAAH39/7o=")</f>
        <v>#VALUE!</v>
      </c>
      <c r="GF16" t="e">
        <f>AND('Ark1'!D451,"AAAAAH39/7s=")</f>
        <v>#VALUE!</v>
      </c>
      <c r="GG16" t="e">
        <f>AND('Ark1'!E451,"AAAAAH39/7w=")</f>
        <v>#VALUE!</v>
      </c>
      <c r="GH16" t="e">
        <f>AND('Ark1'!F451,"AAAAAH39/70=")</f>
        <v>#VALUE!</v>
      </c>
      <c r="GI16" t="e">
        <f>AND('Ark1'!G451,"AAAAAH39/74=")</f>
        <v>#VALUE!</v>
      </c>
      <c r="GJ16" t="e">
        <f>AND('Ark1'!H451,"AAAAAH39/78=")</f>
        <v>#VALUE!</v>
      </c>
      <c r="GK16">
        <f>IF('Ark1'!452:452,"AAAAAH39/8A=",0)</f>
        <v>0</v>
      </c>
      <c r="GL16" t="e">
        <f>AND('Ark1'!A452,"AAAAAH39/8E=")</f>
        <v>#VALUE!</v>
      </c>
      <c r="GM16" t="e">
        <f>AND('Ark1'!B452,"AAAAAH39/8I=")</f>
        <v>#VALUE!</v>
      </c>
      <c r="GN16" t="e">
        <f>AND('Ark1'!C452,"AAAAAH39/8M=")</f>
        <v>#VALUE!</v>
      </c>
      <c r="GO16" t="e">
        <f>AND('Ark1'!D452,"AAAAAH39/8Q=")</f>
        <v>#VALUE!</v>
      </c>
      <c r="GP16" t="e">
        <f>AND('Ark1'!E452,"AAAAAH39/8U=")</f>
        <v>#VALUE!</v>
      </c>
      <c r="GQ16" t="e">
        <f>AND('Ark1'!F452,"AAAAAH39/8Y=")</f>
        <v>#VALUE!</v>
      </c>
      <c r="GR16" t="e">
        <f>AND('Ark1'!G452,"AAAAAH39/8c=")</f>
        <v>#VALUE!</v>
      </c>
      <c r="GS16" t="e">
        <f>AND('Ark1'!H452,"AAAAAH39/8g=")</f>
        <v>#VALUE!</v>
      </c>
      <c r="GT16">
        <f>IF('Ark1'!453:453,"AAAAAH39/8k=",0)</f>
        <v>0</v>
      </c>
      <c r="GU16" t="e">
        <f>AND('Ark1'!A453,"AAAAAH39/8o=")</f>
        <v>#VALUE!</v>
      </c>
      <c r="GV16" t="e">
        <f>AND('Ark1'!B453,"AAAAAH39/8s=")</f>
        <v>#VALUE!</v>
      </c>
      <c r="GW16" t="e">
        <f>AND('Ark1'!C453,"AAAAAH39/8w=")</f>
        <v>#VALUE!</v>
      </c>
      <c r="GX16" t="e">
        <f>AND('Ark1'!D453,"AAAAAH39/80=")</f>
        <v>#VALUE!</v>
      </c>
      <c r="GY16" t="e">
        <f>AND('Ark1'!E453,"AAAAAH39/84=")</f>
        <v>#VALUE!</v>
      </c>
      <c r="GZ16" t="e">
        <f>AND('Ark1'!F453,"AAAAAH39/88=")</f>
        <v>#VALUE!</v>
      </c>
      <c r="HA16" t="e">
        <f>AND('Ark1'!G453,"AAAAAH39/9A=")</f>
        <v>#VALUE!</v>
      </c>
      <c r="HB16" t="e">
        <f>AND('Ark1'!H453,"AAAAAH39/9E=")</f>
        <v>#VALUE!</v>
      </c>
      <c r="HC16">
        <f>IF('Ark1'!454:454,"AAAAAH39/9I=",0)</f>
        <v>0</v>
      </c>
      <c r="HD16" t="e">
        <f>AND('Ark1'!A454,"AAAAAH39/9M=")</f>
        <v>#VALUE!</v>
      </c>
      <c r="HE16" t="e">
        <f>AND('Ark1'!B454,"AAAAAH39/9Q=")</f>
        <v>#VALUE!</v>
      </c>
      <c r="HF16" t="e">
        <f>AND('Ark1'!C454,"AAAAAH39/9U=")</f>
        <v>#VALUE!</v>
      </c>
      <c r="HG16" t="e">
        <f>AND('Ark1'!D454,"AAAAAH39/9Y=")</f>
        <v>#VALUE!</v>
      </c>
      <c r="HH16" t="e">
        <f>AND('Ark1'!E454,"AAAAAH39/9c=")</f>
        <v>#VALUE!</v>
      </c>
      <c r="HI16" t="e">
        <f>AND('Ark1'!F454,"AAAAAH39/9g=")</f>
        <v>#VALUE!</v>
      </c>
      <c r="HJ16" t="e">
        <f>AND('Ark1'!G454,"AAAAAH39/9k=")</f>
        <v>#VALUE!</v>
      </c>
      <c r="HK16" t="e">
        <f>AND('Ark1'!H454,"AAAAAH39/9o=")</f>
        <v>#VALUE!</v>
      </c>
      <c r="HL16">
        <f>IF('Ark1'!455:455,"AAAAAH39/9s=",0)</f>
        <v>0</v>
      </c>
      <c r="HM16" t="e">
        <f>AND('Ark1'!A455,"AAAAAH39/9w=")</f>
        <v>#VALUE!</v>
      </c>
      <c r="HN16" t="e">
        <f>AND('Ark1'!B455,"AAAAAH39/90=")</f>
        <v>#VALUE!</v>
      </c>
      <c r="HO16" t="e">
        <f>AND('Ark1'!C455,"AAAAAH39/94=")</f>
        <v>#VALUE!</v>
      </c>
      <c r="HP16" t="e">
        <f>AND('Ark1'!D455,"AAAAAH39/98=")</f>
        <v>#VALUE!</v>
      </c>
      <c r="HQ16" t="e">
        <f>AND('Ark1'!E455,"AAAAAH39/+A=")</f>
        <v>#VALUE!</v>
      </c>
      <c r="HR16" t="e">
        <f>AND('Ark1'!F455,"AAAAAH39/+E=")</f>
        <v>#VALUE!</v>
      </c>
      <c r="HS16" t="e">
        <f>AND('Ark1'!G455,"AAAAAH39/+I=")</f>
        <v>#VALUE!</v>
      </c>
      <c r="HT16" t="e">
        <f>AND('Ark1'!H455,"AAAAAH39/+M=")</f>
        <v>#VALUE!</v>
      </c>
      <c r="HU16">
        <f>IF('Ark1'!456:456,"AAAAAH39/+Q=",0)</f>
        <v>0</v>
      </c>
      <c r="HV16" t="e">
        <f>AND('Ark1'!A456,"AAAAAH39/+U=")</f>
        <v>#VALUE!</v>
      </c>
      <c r="HW16" t="e">
        <f>AND('Ark1'!B456,"AAAAAH39/+Y=")</f>
        <v>#VALUE!</v>
      </c>
      <c r="HX16" t="e">
        <f>AND('Ark1'!C456,"AAAAAH39/+c=")</f>
        <v>#VALUE!</v>
      </c>
      <c r="HY16" t="e">
        <f>AND('Ark1'!D456,"AAAAAH39/+g=")</f>
        <v>#VALUE!</v>
      </c>
      <c r="HZ16" t="e">
        <f>AND('Ark1'!E456,"AAAAAH39/+k=")</f>
        <v>#VALUE!</v>
      </c>
      <c r="IA16" t="e">
        <f>AND('Ark1'!F456,"AAAAAH39/+o=")</f>
        <v>#VALUE!</v>
      </c>
      <c r="IB16" t="e">
        <f>AND('Ark1'!G456,"AAAAAH39/+s=")</f>
        <v>#VALUE!</v>
      </c>
      <c r="IC16" t="e">
        <f>AND('Ark1'!H456,"AAAAAH39/+w=")</f>
        <v>#VALUE!</v>
      </c>
      <c r="ID16">
        <f>IF('Ark1'!457:457,"AAAAAH39/+0=",0)</f>
        <v>0</v>
      </c>
      <c r="IE16" t="e">
        <f>AND('Ark1'!A457,"AAAAAH39/+4=")</f>
        <v>#VALUE!</v>
      </c>
      <c r="IF16" t="e">
        <f>AND('Ark1'!B457,"AAAAAH39/+8=")</f>
        <v>#VALUE!</v>
      </c>
      <c r="IG16" t="e">
        <f>AND('Ark1'!C457,"AAAAAH39//A=")</f>
        <v>#VALUE!</v>
      </c>
      <c r="IH16" t="e">
        <f>AND('Ark1'!D457,"AAAAAH39//E=")</f>
        <v>#VALUE!</v>
      </c>
      <c r="II16" t="e">
        <f>AND('Ark1'!E457,"AAAAAH39//I=")</f>
        <v>#VALUE!</v>
      </c>
      <c r="IJ16" t="e">
        <f>AND('Ark1'!F457,"AAAAAH39//M=")</f>
        <v>#VALUE!</v>
      </c>
      <c r="IK16" t="e">
        <f>AND('Ark1'!G457,"AAAAAH39//Q=")</f>
        <v>#VALUE!</v>
      </c>
      <c r="IL16" t="e">
        <f>AND('Ark1'!H457,"AAAAAH39//U=")</f>
        <v>#VALUE!</v>
      </c>
      <c r="IM16">
        <f>IF('Ark1'!458:458,"AAAAAH39//Y=",0)</f>
        <v>0</v>
      </c>
      <c r="IN16" t="e">
        <f>AND('Ark1'!A458,"AAAAAH39//c=")</f>
        <v>#VALUE!</v>
      </c>
      <c r="IO16" t="e">
        <f>AND('Ark1'!B458,"AAAAAH39//g=")</f>
        <v>#VALUE!</v>
      </c>
      <c r="IP16" t="e">
        <f>AND('Ark1'!C458,"AAAAAH39//k=")</f>
        <v>#VALUE!</v>
      </c>
      <c r="IQ16" t="e">
        <f>AND('Ark1'!D458,"AAAAAH39//o=")</f>
        <v>#VALUE!</v>
      </c>
      <c r="IR16" t="e">
        <f>AND('Ark1'!E458,"AAAAAH39//s=")</f>
        <v>#VALUE!</v>
      </c>
      <c r="IS16" t="e">
        <f>AND('Ark1'!F458,"AAAAAH39//w=")</f>
        <v>#VALUE!</v>
      </c>
      <c r="IT16" t="e">
        <f>AND('Ark1'!G458,"AAAAAH39//0=")</f>
        <v>#VALUE!</v>
      </c>
      <c r="IU16" t="e">
        <f>AND('Ark1'!H458,"AAAAAH39//4=")</f>
        <v>#VALUE!</v>
      </c>
      <c r="IV16">
        <f>IF('Ark1'!459:459,"AAAAAH39//8=",0)</f>
        <v>0</v>
      </c>
    </row>
    <row r="17" spans="1:256" x14ac:dyDescent="0.25">
      <c r="A17" t="e">
        <f>AND('Ark1'!A459,"AAAAAH/ePwA=")</f>
        <v>#VALUE!</v>
      </c>
      <c r="B17" t="e">
        <f>AND('Ark1'!B459,"AAAAAH/ePwE=")</f>
        <v>#VALUE!</v>
      </c>
      <c r="C17" t="e">
        <f>AND('Ark1'!C459,"AAAAAH/ePwI=")</f>
        <v>#VALUE!</v>
      </c>
      <c r="D17" t="e">
        <f>AND('Ark1'!D459,"AAAAAH/ePwM=")</f>
        <v>#VALUE!</v>
      </c>
      <c r="E17" t="e">
        <f>AND('Ark1'!E459,"AAAAAH/ePwQ=")</f>
        <v>#VALUE!</v>
      </c>
      <c r="F17" t="e">
        <f>AND('Ark1'!F459,"AAAAAH/ePwU=")</f>
        <v>#VALUE!</v>
      </c>
      <c r="G17" t="e">
        <f>AND('Ark1'!G459,"AAAAAH/ePwY=")</f>
        <v>#VALUE!</v>
      </c>
      <c r="H17" t="e">
        <f>AND('Ark1'!H459,"AAAAAH/ePwc=")</f>
        <v>#VALUE!</v>
      </c>
      <c r="I17">
        <f>IF('Ark1'!460:460,"AAAAAH/ePwg=",0)</f>
        <v>0</v>
      </c>
      <c r="J17" t="e">
        <f>AND('Ark1'!A460,"AAAAAH/ePwk=")</f>
        <v>#VALUE!</v>
      </c>
      <c r="K17" t="e">
        <f>AND('Ark1'!B460,"AAAAAH/ePwo=")</f>
        <v>#VALUE!</v>
      </c>
      <c r="L17" t="e">
        <f>AND('Ark1'!C460,"AAAAAH/ePws=")</f>
        <v>#VALUE!</v>
      </c>
      <c r="M17" t="e">
        <f>AND('Ark1'!D460,"AAAAAH/ePww=")</f>
        <v>#VALUE!</v>
      </c>
      <c r="N17" t="e">
        <f>AND('Ark1'!E460,"AAAAAH/ePw0=")</f>
        <v>#VALUE!</v>
      </c>
      <c r="O17" t="e">
        <f>AND('Ark1'!F460,"AAAAAH/ePw4=")</f>
        <v>#VALUE!</v>
      </c>
      <c r="P17" t="e">
        <f>AND('Ark1'!G460,"AAAAAH/ePw8=")</f>
        <v>#VALUE!</v>
      </c>
      <c r="Q17" t="e">
        <f>AND('Ark1'!H460,"AAAAAH/ePxA=")</f>
        <v>#VALUE!</v>
      </c>
      <c r="R17">
        <f>IF('Ark1'!461:461,"AAAAAH/ePxE=",0)</f>
        <v>0</v>
      </c>
      <c r="S17" t="e">
        <f>AND('Ark1'!A461,"AAAAAH/ePxI=")</f>
        <v>#VALUE!</v>
      </c>
      <c r="T17" t="e">
        <f>AND('Ark1'!B461,"AAAAAH/ePxM=")</f>
        <v>#VALUE!</v>
      </c>
      <c r="U17" t="e">
        <f>AND('Ark1'!C461,"AAAAAH/ePxQ=")</f>
        <v>#VALUE!</v>
      </c>
      <c r="V17" t="e">
        <f>AND('Ark1'!D461,"AAAAAH/ePxU=")</f>
        <v>#VALUE!</v>
      </c>
      <c r="W17" t="e">
        <f>AND('Ark1'!E461,"AAAAAH/ePxY=")</f>
        <v>#VALUE!</v>
      </c>
      <c r="X17" t="e">
        <f>AND('Ark1'!F461,"AAAAAH/ePxc=")</f>
        <v>#VALUE!</v>
      </c>
      <c r="Y17" t="e">
        <f>AND('Ark1'!G461,"AAAAAH/ePxg=")</f>
        <v>#VALUE!</v>
      </c>
      <c r="Z17" t="e">
        <f>AND('Ark1'!H461,"AAAAAH/ePxk=")</f>
        <v>#VALUE!</v>
      </c>
      <c r="AA17">
        <f>IF('Ark1'!462:462,"AAAAAH/ePxo=",0)</f>
        <v>0</v>
      </c>
      <c r="AB17" t="e">
        <f>AND('Ark1'!A462,"AAAAAH/ePxs=")</f>
        <v>#VALUE!</v>
      </c>
      <c r="AC17" t="e">
        <f>AND('Ark1'!B462,"AAAAAH/ePxw=")</f>
        <v>#VALUE!</v>
      </c>
      <c r="AD17" t="e">
        <f>AND('Ark1'!C462,"AAAAAH/ePx0=")</f>
        <v>#VALUE!</v>
      </c>
      <c r="AE17" t="e">
        <f>AND('Ark1'!D462,"AAAAAH/ePx4=")</f>
        <v>#VALUE!</v>
      </c>
      <c r="AF17" t="e">
        <f>AND('Ark1'!E462,"AAAAAH/ePx8=")</f>
        <v>#VALUE!</v>
      </c>
      <c r="AG17" t="e">
        <f>AND('Ark1'!F462,"AAAAAH/ePyA=")</f>
        <v>#VALUE!</v>
      </c>
      <c r="AH17" t="e">
        <f>AND('Ark1'!G462,"AAAAAH/ePyE=")</f>
        <v>#VALUE!</v>
      </c>
      <c r="AI17" t="e">
        <f>AND('Ark1'!H462,"AAAAAH/ePyI=")</f>
        <v>#VALUE!</v>
      </c>
      <c r="AJ17">
        <f>IF('Ark1'!463:463,"AAAAAH/ePyM=",0)</f>
        <v>0</v>
      </c>
      <c r="AK17" t="e">
        <f>AND('Ark1'!A463,"AAAAAH/ePyQ=")</f>
        <v>#VALUE!</v>
      </c>
      <c r="AL17" t="e">
        <f>AND('Ark1'!B463,"AAAAAH/ePyU=")</f>
        <v>#VALUE!</v>
      </c>
      <c r="AM17" t="e">
        <f>AND('Ark1'!C463,"AAAAAH/ePyY=")</f>
        <v>#VALUE!</v>
      </c>
      <c r="AN17" t="e">
        <f>AND('Ark1'!D463,"AAAAAH/ePyc=")</f>
        <v>#VALUE!</v>
      </c>
      <c r="AO17" t="e">
        <f>AND('Ark1'!E463,"AAAAAH/ePyg=")</f>
        <v>#VALUE!</v>
      </c>
      <c r="AP17" t="e">
        <f>AND('Ark1'!F463,"AAAAAH/ePyk=")</f>
        <v>#VALUE!</v>
      </c>
      <c r="AQ17" t="e">
        <f>AND('Ark1'!G463,"AAAAAH/ePyo=")</f>
        <v>#VALUE!</v>
      </c>
      <c r="AR17" t="e">
        <f>AND('Ark1'!H463,"AAAAAH/ePys=")</f>
        <v>#VALUE!</v>
      </c>
      <c r="AS17">
        <f>IF('Ark1'!464:464,"AAAAAH/ePyw=",0)</f>
        <v>0</v>
      </c>
      <c r="AT17" t="e">
        <f>AND('Ark1'!A464,"AAAAAH/ePy0=")</f>
        <v>#VALUE!</v>
      </c>
      <c r="AU17" t="e">
        <f>AND('Ark1'!B464,"AAAAAH/ePy4=")</f>
        <v>#VALUE!</v>
      </c>
      <c r="AV17" t="e">
        <f>AND('Ark1'!C464,"AAAAAH/ePy8=")</f>
        <v>#VALUE!</v>
      </c>
      <c r="AW17" t="e">
        <f>AND('Ark1'!D464,"AAAAAH/ePzA=")</f>
        <v>#VALUE!</v>
      </c>
      <c r="AX17" t="e">
        <f>AND('Ark1'!E464,"AAAAAH/ePzE=")</f>
        <v>#VALUE!</v>
      </c>
      <c r="AY17" t="e">
        <f>AND('Ark1'!F464,"AAAAAH/ePzI=")</f>
        <v>#VALUE!</v>
      </c>
      <c r="AZ17" t="e">
        <f>AND('Ark1'!G464,"AAAAAH/ePzM=")</f>
        <v>#VALUE!</v>
      </c>
      <c r="BA17" t="e">
        <f>AND('Ark1'!H464,"AAAAAH/ePzQ=")</f>
        <v>#VALUE!</v>
      </c>
      <c r="BB17">
        <f>IF('Ark1'!465:465,"AAAAAH/ePzU=",0)</f>
        <v>0</v>
      </c>
      <c r="BC17" t="e">
        <f>AND('Ark1'!A465,"AAAAAH/ePzY=")</f>
        <v>#VALUE!</v>
      </c>
      <c r="BD17" t="e">
        <f>AND('Ark1'!B465,"AAAAAH/ePzc=")</f>
        <v>#VALUE!</v>
      </c>
      <c r="BE17" t="e">
        <f>AND('Ark1'!C465,"AAAAAH/ePzg=")</f>
        <v>#VALUE!</v>
      </c>
      <c r="BF17" t="e">
        <f>AND('Ark1'!D465,"AAAAAH/ePzk=")</f>
        <v>#VALUE!</v>
      </c>
      <c r="BG17" t="e">
        <f>AND('Ark1'!E465,"AAAAAH/ePzo=")</f>
        <v>#VALUE!</v>
      </c>
      <c r="BH17" t="e">
        <f>AND('Ark1'!F465,"AAAAAH/ePzs=")</f>
        <v>#VALUE!</v>
      </c>
      <c r="BI17" t="e">
        <f>AND('Ark1'!G465,"AAAAAH/ePzw=")</f>
        <v>#VALUE!</v>
      </c>
      <c r="BJ17" t="e">
        <f>AND('Ark1'!H465,"AAAAAH/ePz0=")</f>
        <v>#VALUE!</v>
      </c>
      <c r="BK17">
        <f>IF('Ark1'!466:466,"AAAAAH/ePz4=",0)</f>
        <v>0</v>
      </c>
      <c r="BL17" t="e">
        <f>AND('Ark1'!A466,"AAAAAH/ePz8=")</f>
        <v>#VALUE!</v>
      </c>
      <c r="BM17" t="e">
        <f>AND('Ark1'!B466,"AAAAAH/eP0A=")</f>
        <v>#VALUE!</v>
      </c>
      <c r="BN17" t="e">
        <f>AND('Ark1'!C466,"AAAAAH/eP0E=")</f>
        <v>#VALUE!</v>
      </c>
      <c r="BO17" t="e">
        <f>AND('Ark1'!D466,"AAAAAH/eP0I=")</f>
        <v>#VALUE!</v>
      </c>
      <c r="BP17" t="e">
        <f>AND('Ark1'!E466,"AAAAAH/eP0M=")</f>
        <v>#VALUE!</v>
      </c>
      <c r="BQ17" t="e">
        <f>AND('Ark1'!F466,"AAAAAH/eP0Q=")</f>
        <v>#VALUE!</v>
      </c>
      <c r="BR17" t="e">
        <f>AND('Ark1'!G466,"AAAAAH/eP0U=")</f>
        <v>#VALUE!</v>
      </c>
      <c r="BS17" t="e">
        <f>AND('Ark1'!H466,"AAAAAH/eP0Y=")</f>
        <v>#VALUE!</v>
      </c>
      <c r="BT17">
        <f>IF('Ark1'!467:467,"AAAAAH/eP0c=",0)</f>
        <v>0</v>
      </c>
      <c r="BU17" t="e">
        <f>AND('Ark1'!A467,"AAAAAH/eP0g=")</f>
        <v>#VALUE!</v>
      </c>
      <c r="BV17" t="e">
        <f>AND('Ark1'!B467,"AAAAAH/eP0k=")</f>
        <v>#VALUE!</v>
      </c>
      <c r="BW17" t="e">
        <f>AND('Ark1'!C467,"AAAAAH/eP0o=")</f>
        <v>#VALUE!</v>
      </c>
      <c r="BX17" t="e">
        <f>AND('Ark1'!D467,"AAAAAH/eP0s=")</f>
        <v>#VALUE!</v>
      </c>
      <c r="BY17" t="e">
        <f>AND('Ark1'!E467,"AAAAAH/eP0w=")</f>
        <v>#VALUE!</v>
      </c>
      <c r="BZ17" t="e">
        <f>AND('Ark1'!F467,"AAAAAH/eP00=")</f>
        <v>#VALUE!</v>
      </c>
      <c r="CA17" t="e">
        <f>AND('Ark1'!G467,"AAAAAH/eP04=")</f>
        <v>#VALUE!</v>
      </c>
      <c r="CB17" t="e">
        <f>AND('Ark1'!H467,"AAAAAH/eP08=")</f>
        <v>#VALUE!</v>
      </c>
      <c r="CC17">
        <f>IF('Ark1'!468:468,"AAAAAH/eP1A=",0)</f>
        <v>0</v>
      </c>
      <c r="CD17" t="e">
        <f>AND('Ark1'!A468,"AAAAAH/eP1E=")</f>
        <v>#VALUE!</v>
      </c>
      <c r="CE17" t="e">
        <f>AND('Ark1'!B468,"AAAAAH/eP1I=")</f>
        <v>#VALUE!</v>
      </c>
      <c r="CF17" t="e">
        <f>AND('Ark1'!C468,"AAAAAH/eP1M=")</f>
        <v>#VALUE!</v>
      </c>
      <c r="CG17" t="e">
        <f>AND('Ark1'!D468,"AAAAAH/eP1Q=")</f>
        <v>#VALUE!</v>
      </c>
      <c r="CH17" t="e">
        <f>AND('Ark1'!E468,"AAAAAH/eP1U=")</f>
        <v>#VALUE!</v>
      </c>
      <c r="CI17" t="e">
        <f>AND('Ark1'!F468,"AAAAAH/eP1Y=")</f>
        <v>#VALUE!</v>
      </c>
      <c r="CJ17" t="e">
        <f>AND('Ark1'!G468,"AAAAAH/eP1c=")</f>
        <v>#VALUE!</v>
      </c>
      <c r="CK17" t="e">
        <f>AND('Ark1'!H468,"AAAAAH/eP1g=")</f>
        <v>#VALUE!</v>
      </c>
      <c r="CL17">
        <f>IF('Ark1'!469:469,"AAAAAH/eP1k=",0)</f>
        <v>0</v>
      </c>
      <c r="CM17" t="e">
        <f>AND('Ark1'!A469,"AAAAAH/eP1o=")</f>
        <v>#VALUE!</v>
      </c>
      <c r="CN17" t="e">
        <f>AND('Ark1'!B469,"AAAAAH/eP1s=")</f>
        <v>#VALUE!</v>
      </c>
      <c r="CO17" t="e">
        <f>AND('Ark1'!C469,"AAAAAH/eP1w=")</f>
        <v>#VALUE!</v>
      </c>
      <c r="CP17" t="e">
        <f>AND('Ark1'!D469,"AAAAAH/eP10=")</f>
        <v>#VALUE!</v>
      </c>
      <c r="CQ17" t="e">
        <f>AND('Ark1'!E469,"AAAAAH/eP14=")</f>
        <v>#VALUE!</v>
      </c>
      <c r="CR17" t="e">
        <f>AND('Ark1'!F469,"AAAAAH/eP18=")</f>
        <v>#VALUE!</v>
      </c>
      <c r="CS17" t="e">
        <f>AND('Ark1'!G469,"AAAAAH/eP2A=")</f>
        <v>#VALUE!</v>
      </c>
      <c r="CT17" t="e">
        <f>AND('Ark1'!H469,"AAAAAH/eP2E=")</f>
        <v>#VALUE!</v>
      </c>
      <c r="CU17">
        <f>IF('Ark1'!470:470,"AAAAAH/eP2I=",0)</f>
        <v>0</v>
      </c>
      <c r="CV17" t="e">
        <f>AND('Ark1'!A470,"AAAAAH/eP2M=")</f>
        <v>#VALUE!</v>
      </c>
      <c r="CW17" t="e">
        <f>AND('Ark1'!B470,"AAAAAH/eP2Q=")</f>
        <v>#VALUE!</v>
      </c>
      <c r="CX17" t="e">
        <f>AND('Ark1'!C470,"AAAAAH/eP2U=")</f>
        <v>#VALUE!</v>
      </c>
      <c r="CY17" t="e">
        <f>AND('Ark1'!D470,"AAAAAH/eP2Y=")</f>
        <v>#VALUE!</v>
      </c>
      <c r="CZ17" t="e">
        <f>AND('Ark1'!E470,"AAAAAH/eP2c=")</f>
        <v>#VALUE!</v>
      </c>
      <c r="DA17" t="e">
        <f>AND('Ark1'!F470,"AAAAAH/eP2g=")</f>
        <v>#VALUE!</v>
      </c>
      <c r="DB17" t="e">
        <f>AND('Ark1'!G470,"AAAAAH/eP2k=")</f>
        <v>#VALUE!</v>
      </c>
      <c r="DC17" t="e">
        <f>AND('Ark1'!H470,"AAAAAH/eP2o=")</f>
        <v>#VALUE!</v>
      </c>
      <c r="DD17">
        <f>IF('Ark1'!471:471,"AAAAAH/eP2s=",0)</f>
        <v>0</v>
      </c>
      <c r="DE17" t="e">
        <f>AND('Ark1'!A471,"AAAAAH/eP2w=")</f>
        <v>#VALUE!</v>
      </c>
      <c r="DF17" t="e">
        <f>AND('Ark1'!B471,"AAAAAH/eP20=")</f>
        <v>#VALUE!</v>
      </c>
      <c r="DG17" t="e">
        <f>AND('Ark1'!C471,"AAAAAH/eP24=")</f>
        <v>#VALUE!</v>
      </c>
      <c r="DH17" t="e">
        <f>AND('Ark1'!D471,"AAAAAH/eP28=")</f>
        <v>#VALUE!</v>
      </c>
      <c r="DI17" t="e">
        <f>AND('Ark1'!E471,"AAAAAH/eP3A=")</f>
        <v>#VALUE!</v>
      </c>
      <c r="DJ17" t="e">
        <f>AND('Ark1'!F471,"AAAAAH/eP3E=")</f>
        <v>#VALUE!</v>
      </c>
      <c r="DK17" t="e">
        <f>AND('Ark1'!G471,"AAAAAH/eP3I=")</f>
        <v>#VALUE!</v>
      </c>
      <c r="DL17" t="e">
        <f>AND('Ark1'!H471,"AAAAAH/eP3M=")</f>
        <v>#VALUE!</v>
      </c>
      <c r="DM17">
        <f>IF('Ark1'!472:472,"AAAAAH/eP3Q=",0)</f>
        <v>0</v>
      </c>
      <c r="DN17" t="e">
        <f>AND('Ark1'!A472,"AAAAAH/eP3U=")</f>
        <v>#VALUE!</v>
      </c>
      <c r="DO17" t="e">
        <f>AND('Ark1'!B472,"AAAAAH/eP3Y=")</f>
        <v>#VALUE!</v>
      </c>
      <c r="DP17" t="e">
        <f>AND('Ark1'!C472,"AAAAAH/eP3c=")</f>
        <v>#VALUE!</v>
      </c>
      <c r="DQ17" t="e">
        <f>AND('Ark1'!D472,"AAAAAH/eP3g=")</f>
        <v>#VALUE!</v>
      </c>
      <c r="DR17" t="e">
        <f>AND('Ark1'!E472,"AAAAAH/eP3k=")</f>
        <v>#VALUE!</v>
      </c>
      <c r="DS17" t="e">
        <f>AND('Ark1'!F472,"AAAAAH/eP3o=")</f>
        <v>#VALUE!</v>
      </c>
      <c r="DT17" t="e">
        <f>AND('Ark1'!G472,"AAAAAH/eP3s=")</f>
        <v>#VALUE!</v>
      </c>
      <c r="DU17" t="e">
        <f>AND('Ark1'!H472,"AAAAAH/eP3w=")</f>
        <v>#VALUE!</v>
      </c>
      <c r="DV17">
        <f>IF('Ark1'!473:473,"AAAAAH/eP30=",0)</f>
        <v>0</v>
      </c>
      <c r="DW17" t="e">
        <f>AND('Ark1'!A473,"AAAAAH/eP34=")</f>
        <v>#VALUE!</v>
      </c>
      <c r="DX17" t="e">
        <f>AND('Ark1'!B473,"AAAAAH/eP38=")</f>
        <v>#VALUE!</v>
      </c>
      <c r="DY17" t="e">
        <f>AND('Ark1'!C473,"AAAAAH/eP4A=")</f>
        <v>#VALUE!</v>
      </c>
      <c r="DZ17" t="e">
        <f>AND('Ark1'!D473,"AAAAAH/eP4E=")</f>
        <v>#VALUE!</v>
      </c>
      <c r="EA17" t="e">
        <f>AND('Ark1'!E473,"AAAAAH/eP4I=")</f>
        <v>#VALUE!</v>
      </c>
      <c r="EB17" t="e">
        <f>AND('Ark1'!F473,"AAAAAH/eP4M=")</f>
        <v>#VALUE!</v>
      </c>
      <c r="EC17" t="e">
        <f>AND('Ark1'!G473,"AAAAAH/eP4Q=")</f>
        <v>#VALUE!</v>
      </c>
      <c r="ED17" t="e">
        <f>AND('Ark1'!H473,"AAAAAH/eP4U=")</f>
        <v>#VALUE!</v>
      </c>
      <c r="EE17">
        <f>IF('Ark1'!474:474,"AAAAAH/eP4Y=",0)</f>
        <v>0</v>
      </c>
      <c r="EF17" t="e">
        <f>AND('Ark1'!A474,"AAAAAH/eP4c=")</f>
        <v>#VALUE!</v>
      </c>
      <c r="EG17" t="e">
        <f>AND('Ark1'!B474,"AAAAAH/eP4g=")</f>
        <v>#VALUE!</v>
      </c>
      <c r="EH17" t="e">
        <f>AND('Ark1'!C474,"AAAAAH/eP4k=")</f>
        <v>#VALUE!</v>
      </c>
      <c r="EI17" t="e">
        <f>AND('Ark1'!D474,"AAAAAH/eP4o=")</f>
        <v>#VALUE!</v>
      </c>
      <c r="EJ17" t="e">
        <f>AND('Ark1'!E474,"AAAAAH/eP4s=")</f>
        <v>#VALUE!</v>
      </c>
      <c r="EK17" t="e">
        <f>AND('Ark1'!F474,"AAAAAH/eP4w=")</f>
        <v>#VALUE!</v>
      </c>
      <c r="EL17" t="e">
        <f>AND('Ark1'!G474,"AAAAAH/eP40=")</f>
        <v>#VALUE!</v>
      </c>
      <c r="EM17" t="e">
        <f>AND('Ark1'!H474,"AAAAAH/eP44=")</f>
        <v>#VALUE!</v>
      </c>
      <c r="EN17">
        <f>IF('Ark1'!475:475,"AAAAAH/eP48=",0)</f>
        <v>0</v>
      </c>
      <c r="EO17" t="e">
        <f>AND('Ark1'!A475,"AAAAAH/eP5A=")</f>
        <v>#VALUE!</v>
      </c>
      <c r="EP17" t="e">
        <f>AND('Ark1'!B475,"AAAAAH/eP5E=")</f>
        <v>#VALUE!</v>
      </c>
      <c r="EQ17" t="e">
        <f>AND('Ark1'!C475,"AAAAAH/eP5I=")</f>
        <v>#VALUE!</v>
      </c>
      <c r="ER17" t="e">
        <f>AND('Ark1'!D475,"AAAAAH/eP5M=")</f>
        <v>#VALUE!</v>
      </c>
      <c r="ES17" t="e">
        <f>AND('Ark1'!E475,"AAAAAH/eP5Q=")</f>
        <v>#VALUE!</v>
      </c>
      <c r="ET17" t="e">
        <f>AND('Ark1'!F475,"AAAAAH/eP5U=")</f>
        <v>#VALUE!</v>
      </c>
      <c r="EU17" t="e">
        <f>AND('Ark1'!G475,"AAAAAH/eP5Y=")</f>
        <v>#VALUE!</v>
      </c>
      <c r="EV17" t="e">
        <f>AND('Ark1'!H475,"AAAAAH/eP5c=")</f>
        <v>#VALUE!</v>
      </c>
      <c r="EW17">
        <f>IF('Ark1'!476:476,"AAAAAH/eP5g=",0)</f>
        <v>0</v>
      </c>
      <c r="EX17" t="e">
        <f>AND('Ark1'!A476,"AAAAAH/eP5k=")</f>
        <v>#VALUE!</v>
      </c>
      <c r="EY17" t="e">
        <f>AND('Ark1'!B476,"AAAAAH/eP5o=")</f>
        <v>#VALUE!</v>
      </c>
      <c r="EZ17" t="e">
        <f>AND('Ark1'!C476,"AAAAAH/eP5s=")</f>
        <v>#VALUE!</v>
      </c>
      <c r="FA17" t="e">
        <f>AND('Ark1'!D476,"AAAAAH/eP5w=")</f>
        <v>#VALUE!</v>
      </c>
      <c r="FB17" t="e">
        <f>AND('Ark1'!E476,"AAAAAH/eP50=")</f>
        <v>#VALUE!</v>
      </c>
      <c r="FC17" t="e">
        <f>AND('Ark1'!F476,"AAAAAH/eP54=")</f>
        <v>#VALUE!</v>
      </c>
      <c r="FD17" t="e">
        <f>AND('Ark1'!G476,"AAAAAH/eP58=")</f>
        <v>#VALUE!</v>
      </c>
      <c r="FE17" t="e">
        <f>AND('Ark1'!H476,"AAAAAH/eP6A=")</f>
        <v>#VALUE!</v>
      </c>
      <c r="FF17">
        <f>IF('Ark1'!477:477,"AAAAAH/eP6E=",0)</f>
        <v>0</v>
      </c>
      <c r="FG17" t="e">
        <f>AND('Ark1'!A477,"AAAAAH/eP6I=")</f>
        <v>#VALUE!</v>
      </c>
      <c r="FH17" t="e">
        <f>AND('Ark1'!B477,"AAAAAH/eP6M=")</f>
        <v>#VALUE!</v>
      </c>
      <c r="FI17" t="e">
        <f>AND('Ark1'!C477,"AAAAAH/eP6Q=")</f>
        <v>#VALUE!</v>
      </c>
      <c r="FJ17" t="e">
        <f>AND('Ark1'!D477,"AAAAAH/eP6U=")</f>
        <v>#VALUE!</v>
      </c>
      <c r="FK17" t="e">
        <f>AND('Ark1'!E477,"AAAAAH/eP6Y=")</f>
        <v>#VALUE!</v>
      </c>
      <c r="FL17" t="e">
        <f>AND('Ark1'!F477,"AAAAAH/eP6c=")</f>
        <v>#VALUE!</v>
      </c>
      <c r="FM17" t="e">
        <f>AND('Ark1'!G477,"AAAAAH/eP6g=")</f>
        <v>#VALUE!</v>
      </c>
      <c r="FN17" t="e">
        <f>AND('Ark1'!H477,"AAAAAH/eP6k=")</f>
        <v>#VALUE!</v>
      </c>
      <c r="FO17">
        <f>IF('Ark1'!478:478,"AAAAAH/eP6o=",0)</f>
        <v>0</v>
      </c>
      <c r="FP17" t="e">
        <f>AND('Ark1'!A478,"AAAAAH/eP6s=")</f>
        <v>#VALUE!</v>
      </c>
      <c r="FQ17" t="e">
        <f>AND('Ark1'!B478,"AAAAAH/eP6w=")</f>
        <v>#VALUE!</v>
      </c>
      <c r="FR17" t="e">
        <f>AND('Ark1'!C478,"AAAAAH/eP60=")</f>
        <v>#VALUE!</v>
      </c>
      <c r="FS17" t="e">
        <f>AND('Ark1'!D478,"AAAAAH/eP64=")</f>
        <v>#VALUE!</v>
      </c>
      <c r="FT17" t="e">
        <f>AND('Ark1'!E478,"AAAAAH/eP68=")</f>
        <v>#VALUE!</v>
      </c>
      <c r="FU17" t="e">
        <f>AND('Ark1'!F478,"AAAAAH/eP7A=")</f>
        <v>#VALUE!</v>
      </c>
      <c r="FV17" t="e">
        <f>AND('Ark1'!G478,"AAAAAH/eP7E=")</f>
        <v>#VALUE!</v>
      </c>
      <c r="FW17" t="e">
        <f>AND('Ark1'!H478,"AAAAAH/eP7I=")</f>
        <v>#VALUE!</v>
      </c>
      <c r="FX17">
        <f>IF('Ark1'!479:479,"AAAAAH/eP7M=",0)</f>
        <v>0</v>
      </c>
      <c r="FY17" t="e">
        <f>AND('Ark1'!A479,"AAAAAH/eP7Q=")</f>
        <v>#VALUE!</v>
      </c>
      <c r="FZ17" t="e">
        <f>AND('Ark1'!B479,"AAAAAH/eP7U=")</f>
        <v>#VALUE!</v>
      </c>
      <c r="GA17" t="e">
        <f>AND('Ark1'!C479,"AAAAAH/eP7Y=")</f>
        <v>#VALUE!</v>
      </c>
      <c r="GB17" t="e">
        <f>AND('Ark1'!D479,"AAAAAH/eP7c=")</f>
        <v>#VALUE!</v>
      </c>
      <c r="GC17" t="e">
        <f>AND('Ark1'!E479,"AAAAAH/eP7g=")</f>
        <v>#VALUE!</v>
      </c>
      <c r="GD17" t="e">
        <f>AND('Ark1'!F479,"AAAAAH/eP7k=")</f>
        <v>#VALUE!</v>
      </c>
      <c r="GE17" t="e">
        <f>AND('Ark1'!G479,"AAAAAH/eP7o=")</f>
        <v>#VALUE!</v>
      </c>
      <c r="GF17" t="e">
        <f>AND('Ark1'!H479,"AAAAAH/eP7s=")</f>
        <v>#VALUE!</v>
      </c>
      <c r="GG17">
        <f>IF('Ark1'!480:480,"AAAAAH/eP7w=",0)</f>
        <v>0</v>
      </c>
      <c r="GH17" t="e">
        <f>AND('Ark1'!A480,"AAAAAH/eP70=")</f>
        <v>#VALUE!</v>
      </c>
      <c r="GI17" t="e">
        <f>AND('Ark1'!B480,"AAAAAH/eP74=")</f>
        <v>#VALUE!</v>
      </c>
      <c r="GJ17" t="e">
        <f>AND('Ark1'!C480,"AAAAAH/eP78=")</f>
        <v>#VALUE!</v>
      </c>
      <c r="GK17" t="e">
        <f>AND('Ark1'!D480,"AAAAAH/eP8A=")</f>
        <v>#VALUE!</v>
      </c>
      <c r="GL17" t="e">
        <f>AND('Ark1'!E480,"AAAAAH/eP8E=")</f>
        <v>#VALUE!</v>
      </c>
      <c r="GM17" t="e">
        <f>AND('Ark1'!F480,"AAAAAH/eP8I=")</f>
        <v>#VALUE!</v>
      </c>
      <c r="GN17" t="e">
        <f>AND('Ark1'!G480,"AAAAAH/eP8M=")</f>
        <v>#VALUE!</v>
      </c>
      <c r="GO17" t="e">
        <f>AND('Ark1'!H480,"AAAAAH/eP8Q=")</f>
        <v>#VALUE!</v>
      </c>
      <c r="GP17">
        <f>IF('Ark1'!481:481,"AAAAAH/eP8U=",0)</f>
        <v>0</v>
      </c>
      <c r="GQ17" t="e">
        <f>AND('Ark1'!A481,"AAAAAH/eP8Y=")</f>
        <v>#VALUE!</v>
      </c>
      <c r="GR17" t="e">
        <f>AND('Ark1'!B481,"AAAAAH/eP8c=")</f>
        <v>#VALUE!</v>
      </c>
      <c r="GS17" t="e">
        <f>AND('Ark1'!C481,"AAAAAH/eP8g=")</f>
        <v>#VALUE!</v>
      </c>
      <c r="GT17" t="e">
        <f>AND('Ark1'!D481,"AAAAAH/eP8k=")</f>
        <v>#VALUE!</v>
      </c>
      <c r="GU17" t="e">
        <f>AND('Ark1'!E481,"AAAAAH/eP8o=")</f>
        <v>#VALUE!</v>
      </c>
      <c r="GV17" t="e">
        <f>AND('Ark1'!F481,"AAAAAH/eP8s=")</f>
        <v>#VALUE!</v>
      </c>
      <c r="GW17" t="e">
        <f>AND('Ark1'!G481,"AAAAAH/eP8w=")</f>
        <v>#VALUE!</v>
      </c>
      <c r="GX17" t="e">
        <f>AND('Ark1'!H481,"AAAAAH/eP80=")</f>
        <v>#VALUE!</v>
      </c>
      <c r="GY17">
        <f>IF('Ark1'!482:482,"AAAAAH/eP84=",0)</f>
        <v>0</v>
      </c>
      <c r="GZ17" t="e">
        <f>AND('Ark1'!A482,"AAAAAH/eP88=")</f>
        <v>#VALUE!</v>
      </c>
      <c r="HA17" t="e">
        <f>AND('Ark1'!B482,"AAAAAH/eP9A=")</f>
        <v>#VALUE!</v>
      </c>
      <c r="HB17" t="e">
        <f>AND('Ark1'!C482,"AAAAAH/eP9E=")</f>
        <v>#VALUE!</v>
      </c>
      <c r="HC17" t="e">
        <f>AND('Ark1'!D482,"AAAAAH/eP9I=")</f>
        <v>#VALUE!</v>
      </c>
      <c r="HD17" t="e">
        <f>AND('Ark1'!E482,"AAAAAH/eP9M=")</f>
        <v>#VALUE!</v>
      </c>
      <c r="HE17" t="e">
        <f>AND('Ark1'!F482,"AAAAAH/eP9Q=")</f>
        <v>#VALUE!</v>
      </c>
      <c r="HF17" t="e">
        <f>AND('Ark1'!G482,"AAAAAH/eP9U=")</f>
        <v>#VALUE!</v>
      </c>
      <c r="HG17" t="e">
        <f>AND('Ark1'!H482,"AAAAAH/eP9Y=")</f>
        <v>#VALUE!</v>
      </c>
      <c r="HH17">
        <f>IF('Ark1'!483:483,"AAAAAH/eP9c=",0)</f>
        <v>0</v>
      </c>
      <c r="HI17" t="e">
        <f>AND('Ark1'!A483,"AAAAAH/eP9g=")</f>
        <v>#VALUE!</v>
      </c>
      <c r="HJ17" t="e">
        <f>AND('Ark1'!B483,"AAAAAH/eP9k=")</f>
        <v>#VALUE!</v>
      </c>
      <c r="HK17" t="e">
        <f>AND('Ark1'!C483,"AAAAAH/eP9o=")</f>
        <v>#VALUE!</v>
      </c>
      <c r="HL17" t="e">
        <f>AND('Ark1'!D483,"AAAAAH/eP9s=")</f>
        <v>#VALUE!</v>
      </c>
      <c r="HM17" t="e">
        <f>AND('Ark1'!E483,"AAAAAH/eP9w=")</f>
        <v>#VALUE!</v>
      </c>
      <c r="HN17" t="e">
        <f>AND('Ark1'!F483,"AAAAAH/eP90=")</f>
        <v>#VALUE!</v>
      </c>
      <c r="HO17" t="e">
        <f>AND('Ark1'!G483,"AAAAAH/eP94=")</f>
        <v>#VALUE!</v>
      </c>
      <c r="HP17" t="e">
        <f>AND('Ark1'!H483,"AAAAAH/eP98=")</f>
        <v>#VALUE!</v>
      </c>
      <c r="HQ17">
        <f>IF('Ark1'!484:484,"AAAAAH/eP+A=",0)</f>
        <v>0</v>
      </c>
      <c r="HR17" t="e">
        <f>AND('Ark1'!A484,"AAAAAH/eP+E=")</f>
        <v>#VALUE!</v>
      </c>
      <c r="HS17" t="e">
        <f>AND('Ark1'!B484,"AAAAAH/eP+I=")</f>
        <v>#VALUE!</v>
      </c>
      <c r="HT17" t="e">
        <f>AND('Ark1'!C484,"AAAAAH/eP+M=")</f>
        <v>#VALUE!</v>
      </c>
      <c r="HU17" t="e">
        <f>AND('Ark1'!D484,"AAAAAH/eP+Q=")</f>
        <v>#VALUE!</v>
      </c>
      <c r="HV17" t="e">
        <f>AND('Ark1'!E484,"AAAAAH/eP+U=")</f>
        <v>#VALUE!</v>
      </c>
      <c r="HW17" t="e">
        <f>AND('Ark1'!F484,"AAAAAH/eP+Y=")</f>
        <v>#VALUE!</v>
      </c>
      <c r="HX17" t="e">
        <f>AND('Ark1'!G484,"AAAAAH/eP+c=")</f>
        <v>#VALUE!</v>
      </c>
      <c r="HY17" t="e">
        <f>AND('Ark1'!H484,"AAAAAH/eP+g=")</f>
        <v>#VALUE!</v>
      </c>
      <c r="HZ17">
        <f>IF('Ark1'!485:485,"AAAAAH/eP+k=",0)</f>
        <v>0</v>
      </c>
      <c r="IA17" t="e">
        <f>AND('Ark1'!A485,"AAAAAH/eP+o=")</f>
        <v>#VALUE!</v>
      </c>
      <c r="IB17" t="e">
        <f>AND('Ark1'!B485,"AAAAAH/eP+s=")</f>
        <v>#VALUE!</v>
      </c>
      <c r="IC17" t="e">
        <f>AND('Ark1'!C485,"AAAAAH/eP+w=")</f>
        <v>#VALUE!</v>
      </c>
      <c r="ID17" t="e">
        <f>AND('Ark1'!D485,"AAAAAH/eP+0=")</f>
        <v>#VALUE!</v>
      </c>
      <c r="IE17" t="e">
        <f>AND('Ark1'!E485,"AAAAAH/eP+4=")</f>
        <v>#VALUE!</v>
      </c>
      <c r="IF17" t="e">
        <f>AND('Ark1'!F485,"AAAAAH/eP+8=")</f>
        <v>#VALUE!</v>
      </c>
      <c r="IG17" t="e">
        <f>AND('Ark1'!G485,"AAAAAH/eP/A=")</f>
        <v>#VALUE!</v>
      </c>
      <c r="IH17" t="e">
        <f>AND('Ark1'!H485,"AAAAAH/eP/E=")</f>
        <v>#VALUE!</v>
      </c>
      <c r="II17">
        <f>IF('Ark1'!486:486,"AAAAAH/eP/I=",0)</f>
        <v>0</v>
      </c>
      <c r="IJ17" t="e">
        <f>AND('Ark1'!A486,"AAAAAH/eP/M=")</f>
        <v>#VALUE!</v>
      </c>
      <c r="IK17" t="e">
        <f>AND('Ark1'!B486,"AAAAAH/eP/Q=")</f>
        <v>#VALUE!</v>
      </c>
      <c r="IL17" t="e">
        <f>AND('Ark1'!C486,"AAAAAH/eP/U=")</f>
        <v>#VALUE!</v>
      </c>
      <c r="IM17" t="e">
        <f>AND('Ark1'!D486,"AAAAAH/eP/Y=")</f>
        <v>#VALUE!</v>
      </c>
      <c r="IN17" t="e">
        <f>AND('Ark1'!E486,"AAAAAH/eP/c=")</f>
        <v>#VALUE!</v>
      </c>
      <c r="IO17" t="e">
        <f>AND('Ark1'!F486,"AAAAAH/eP/g=")</f>
        <v>#VALUE!</v>
      </c>
      <c r="IP17" t="e">
        <f>AND('Ark1'!G486,"AAAAAH/eP/k=")</f>
        <v>#VALUE!</v>
      </c>
      <c r="IQ17" t="e">
        <f>AND('Ark1'!H486,"AAAAAH/eP/o=")</f>
        <v>#VALUE!</v>
      </c>
      <c r="IR17">
        <f>IF('Ark1'!487:487,"AAAAAH/eP/s=",0)</f>
        <v>0</v>
      </c>
      <c r="IS17" t="e">
        <f>AND('Ark1'!A487,"AAAAAH/eP/w=")</f>
        <v>#VALUE!</v>
      </c>
      <c r="IT17" t="e">
        <f>AND('Ark1'!B487,"AAAAAH/eP/0=")</f>
        <v>#VALUE!</v>
      </c>
      <c r="IU17" t="e">
        <f>AND('Ark1'!C487,"AAAAAH/eP/4=")</f>
        <v>#VALUE!</v>
      </c>
      <c r="IV17" t="e">
        <f>AND('Ark1'!D487,"AAAAAH/eP/8=")</f>
        <v>#VALUE!</v>
      </c>
    </row>
    <row r="18" spans="1:256" x14ac:dyDescent="0.25">
      <c r="A18" t="e">
        <f>AND('Ark1'!E487,"AAAAAE/P3QA=")</f>
        <v>#VALUE!</v>
      </c>
      <c r="B18" t="e">
        <f>AND('Ark1'!F487,"AAAAAE/P3QE=")</f>
        <v>#VALUE!</v>
      </c>
      <c r="C18" t="e">
        <f>AND('Ark1'!G487,"AAAAAE/P3QI=")</f>
        <v>#VALUE!</v>
      </c>
      <c r="D18" t="e">
        <f>AND('Ark1'!H487,"AAAAAE/P3QM=")</f>
        <v>#VALUE!</v>
      </c>
      <c r="E18">
        <f>IF('Ark1'!488:488,"AAAAAE/P3QQ=",0)</f>
        <v>0</v>
      </c>
      <c r="F18" t="e">
        <f>AND('Ark1'!A488,"AAAAAE/P3QU=")</f>
        <v>#VALUE!</v>
      </c>
      <c r="G18" t="e">
        <f>AND('Ark1'!B488,"AAAAAE/P3QY=")</f>
        <v>#VALUE!</v>
      </c>
      <c r="H18" t="e">
        <f>AND('Ark1'!C488,"AAAAAE/P3Qc=")</f>
        <v>#VALUE!</v>
      </c>
      <c r="I18" t="e">
        <f>AND('Ark1'!D488,"AAAAAE/P3Qg=")</f>
        <v>#VALUE!</v>
      </c>
      <c r="J18" t="e">
        <f>AND('Ark1'!E488,"AAAAAE/P3Qk=")</f>
        <v>#VALUE!</v>
      </c>
      <c r="K18" t="e">
        <f>AND('Ark1'!F488,"AAAAAE/P3Qo=")</f>
        <v>#VALUE!</v>
      </c>
      <c r="L18" t="e">
        <f>AND('Ark1'!G488,"AAAAAE/P3Qs=")</f>
        <v>#VALUE!</v>
      </c>
      <c r="M18" t="e">
        <f>AND('Ark1'!H488,"AAAAAE/P3Qw=")</f>
        <v>#VALUE!</v>
      </c>
      <c r="N18">
        <f>IF('Ark1'!489:489,"AAAAAE/P3Q0=",0)</f>
        <v>0</v>
      </c>
      <c r="O18" t="e">
        <f>AND('Ark1'!A489,"AAAAAE/P3Q4=")</f>
        <v>#VALUE!</v>
      </c>
      <c r="P18" t="e">
        <f>AND('Ark1'!B489,"AAAAAE/P3Q8=")</f>
        <v>#VALUE!</v>
      </c>
      <c r="Q18" t="e">
        <f>AND('Ark1'!C489,"AAAAAE/P3RA=")</f>
        <v>#VALUE!</v>
      </c>
      <c r="R18" t="e">
        <f>AND('Ark1'!D489,"AAAAAE/P3RE=")</f>
        <v>#VALUE!</v>
      </c>
      <c r="S18" t="e">
        <f>AND('Ark1'!E489,"AAAAAE/P3RI=")</f>
        <v>#VALUE!</v>
      </c>
      <c r="T18" t="e">
        <f>AND('Ark1'!F489,"AAAAAE/P3RM=")</f>
        <v>#VALUE!</v>
      </c>
      <c r="U18" t="e">
        <f>AND('Ark1'!G489,"AAAAAE/P3RQ=")</f>
        <v>#VALUE!</v>
      </c>
      <c r="V18" t="e">
        <f>AND('Ark1'!H489,"AAAAAE/P3RU=")</f>
        <v>#VALUE!</v>
      </c>
      <c r="W18">
        <f>IF('Ark1'!490:490,"AAAAAE/P3RY=",0)</f>
        <v>0</v>
      </c>
      <c r="X18" t="e">
        <f>AND('Ark1'!A490,"AAAAAE/P3Rc=")</f>
        <v>#VALUE!</v>
      </c>
      <c r="Y18" t="e">
        <f>AND('Ark1'!B490,"AAAAAE/P3Rg=")</f>
        <v>#VALUE!</v>
      </c>
      <c r="Z18" t="e">
        <f>AND('Ark1'!C490,"AAAAAE/P3Rk=")</f>
        <v>#VALUE!</v>
      </c>
      <c r="AA18" t="e">
        <f>AND('Ark1'!D490,"AAAAAE/P3Ro=")</f>
        <v>#VALUE!</v>
      </c>
      <c r="AB18" t="e">
        <f>AND('Ark1'!E490,"AAAAAE/P3Rs=")</f>
        <v>#VALUE!</v>
      </c>
      <c r="AC18" t="e">
        <f>AND('Ark1'!F490,"AAAAAE/P3Rw=")</f>
        <v>#VALUE!</v>
      </c>
      <c r="AD18" t="e">
        <f>AND('Ark1'!G490,"AAAAAE/P3R0=")</f>
        <v>#VALUE!</v>
      </c>
      <c r="AE18" t="e">
        <f>AND('Ark1'!H490,"AAAAAE/P3R4=")</f>
        <v>#VALUE!</v>
      </c>
      <c r="AF18">
        <f>IF('Ark1'!491:491,"AAAAAE/P3R8=",0)</f>
        <v>0</v>
      </c>
      <c r="AG18" t="e">
        <f>AND('Ark1'!A491,"AAAAAE/P3SA=")</f>
        <v>#VALUE!</v>
      </c>
      <c r="AH18" t="e">
        <f>AND('Ark1'!B491,"AAAAAE/P3SE=")</f>
        <v>#VALUE!</v>
      </c>
      <c r="AI18" t="e">
        <f>AND('Ark1'!C491,"AAAAAE/P3SI=")</f>
        <v>#VALUE!</v>
      </c>
      <c r="AJ18" t="e">
        <f>AND('Ark1'!D491,"AAAAAE/P3SM=")</f>
        <v>#VALUE!</v>
      </c>
      <c r="AK18" t="e">
        <f>AND('Ark1'!E491,"AAAAAE/P3SQ=")</f>
        <v>#VALUE!</v>
      </c>
      <c r="AL18" t="e">
        <f>AND('Ark1'!F491,"AAAAAE/P3SU=")</f>
        <v>#VALUE!</v>
      </c>
      <c r="AM18" t="e">
        <f>AND('Ark1'!G491,"AAAAAE/P3SY=")</f>
        <v>#VALUE!</v>
      </c>
      <c r="AN18" t="e">
        <f>AND('Ark1'!H491,"AAAAAE/P3Sc=")</f>
        <v>#VALUE!</v>
      </c>
      <c r="AO18">
        <f>IF('Ark1'!492:492,"AAAAAE/P3Sg=",0)</f>
        <v>0</v>
      </c>
      <c r="AP18" t="e">
        <f>AND('Ark1'!A492,"AAAAAE/P3Sk=")</f>
        <v>#VALUE!</v>
      </c>
      <c r="AQ18" t="e">
        <f>AND('Ark1'!B492,"AAAAAE/P3So=")</f>
        <v>#VALUE!</v>
      </c>
      <c r="AR18" t="e">
        <f>AND('Ark1'!C492,"AAAAAE/P3Ss=")</f>
        <v>#VALUE!</v>
      </c>
      <c r="AS18" t="e">
        <f>AND('Ark1'!D492,"AAAAAE/P3Sw=")</f>
        <v>#VALUE!</v>
      </c>
      <c r="AT18" t="e">
        <f>AND('Ark1'!E492,"AAAAAE/P3S0=")</f>
        <v>#VALUE!</v>
      </c>
      <c r="AU18" t="e">
        <f>AND('Ark1'!F492,"AAAAAE/P3S4=")</f>
        <v>#VALUE!</v>
      </c>
      <c r="AV18" t="e">
        <f>AND('Ark1'!G492,"AAAAAE/P3S8=")</f>
        <v>#VALUE!</v>
      </c>
      <c r="AW18" t="e">
        <f>AND('Ark1'!H492,"AAAAAE/P3TA=")</f>
        <v>#VALUE!</v>
      </c>
      <c r="AX18">
        <f>IF('Ark1'!493:493,"AAAAAE/P3TE=",0)</f>
        <v>0</v>
      </c>
      <c r="AY18" t="e">
        <f>AND('Ark1'!A493,"AAAAAE/P3TI=")</f>
        <v>#VALUE!</v>
      </c>
      <c r="AZ18" t="e">
        <f>AND('Ark1'!B493,"AAAAAE/P3TM=")</f>
        <v>#VALUE!</v>
      </c>
      <c r="BA18" t="e">
        <f>AND('Ark1'!C493,"AAAAAE/P3TQ=")</f>
        <v>#VALUE!</v>
      </c>
      <c r="BB18" t="e">
        <f>AND('Ark1'!D493,"AAAAAE/P3TU=")</f>
        <v>#VALUE!</v>
      </c>
      <c r="BC18" t="e">
        <f>AND('Ark1'!E493,"AAAAAE/P3TY=")</f>
        <v>#VALUE!</v>
      </c>
      <c r="BD18" t="e">
        <f>AND('Ark1'!F493,"AAAAAE/P3Tc=")</f>
        <v>#VALUE!</v>
      </c>
      <c r="BE18" t="e">
        <f>AND('Ark1'!G493,"AAAAAE/P3Tg=")</f>
        <v>#VALUE!</v>
      </c>
      <c r="BF18" t="e">
        <f>AND('Ark1'!H493,"AAAAAE/P3Tk=")</f>
        <v>#VALUE!</v>
      </c>
      <c r="BG18">
        <f>IF('Ark1'!494:494,"AAAAAE/P3To=",0)</f>
        <v>0</v>
      </c>
      <c r="BH18" t="e">
        <f>AND('Ark1'!A494,"AAAAAE/P3Ts=")</f>
        <v>#VALUE!</v>
      </c>
      <c r="BI18" t="e">
        <f>AND('Ark1'!B494,"AAAAAE/P3Tw=")</f>
        <v>#VALUE!</v>
      </c>
      <c r="BJ18" t="e">
        <f>AND('Ark1'!C494,"AAAAAE/P3T0=")</f>
        <v>#VALUE!</v>
      </c>
      <c r="BK18" t="e">
        <f>AND('Ark1'!D494,"AAAAAE/P3T4=")</f>
        <v>#VALUE!</v>
      </c>
      <c r="BL18" t="e">
        <f>AND('Ark1'!E494,"AAAAAE/P3T8=")</f>
        <v>#VALUE!</v>
      </c>
      <c r="BM18" t="e">
        <f>AND('Ark1'!F494,"AAAAAE/P3UA=")</f>
        <v>#VALUE!</v>
      </c>
      <c r="BN18" t="e">
        <f>AND('Ark1'!G494,"AAAAAE/P3UE=")</f>
        <v>#VALUE!</v>
      </c>
      <c r="BO18" t="e">
        <f>AND('Ark1'!H494,"AAAAAE/P3UI=")</f>
        <v>#VALUE!</v>
      </c>
      <c r="BP18">
        <f>IF('Ark1'!495:495,"AAAAAE/P3UM=",0)</f>
        <v>0</v>
      </c>
      <c r="BQ18" t="e">
        <f>AND('Ark1'!A495,"AAAAAE/P3UQ=")</f>
        <v>#VALUE!</v>
      </c>
      <c r="BR18" t="e">
        <f>AND('Ark1'!B495,"AAAAAE/P3UU=")</f>
        <v>#VALUE!</v>
      </c>
      <c r="BS18" t="e">
        <f>AND('Ark1'!C495,"AAAAAE/P3UY=")</f>
        <v>#VALUE!</v>
      </c>
      <c r="BT18" t="e">
        <f>AND('Ark1'!D495,"AAAAAE/P3Uc=")</f>
        <v>#VALUE!</v>
      </c>
      <c r="BU18" t="e">
        <f>AND('Ark1'!E495,"AAAAAE/P3Ug=")</f>
        <v>#VALUE!</v>
      </c>
      <c r="BV18" t="e">
        <f>AND('Ark1'!F495,"AAAAAE/P3Uk=")</f>
        <v>#VALUE!</v>
      </c>
      <c r="BW18" t="e">
        <f>AND('Ark1'!G495,"AAAAAE/P3Uo=")</f>
        <v>#VALUE!</v>
      </c>
      <c r="BX18" t="e">
        <f>AND('Ark1'!H495,"AAAAAE/P3Us=")</f>
        <v>#VALUE!</v>
      </c>
      <c r="BY18">
        <f>IF('Ark1'!496:496,"AAAAAE/P3Uw=",0)</f>
        <v>0</v>
      </c>
      <c r="BZ18" t="e">
        <f>AND('Ark1'!A496,"AAAAAE/P3U0=")</f>
        <v>#VALUE!</v>
      </c>
      <c r="CA18" t="e">
        <f>AND('Ark1'!B496,"AAAAAE/P3U4=")</f>
        <v>#VALUE!</v>
      </c>
      <c r="CB18" t="e">
        <f>AND('Ark1'!C496,"AAAAAE/P3U8=")</f>
        <v>#VALUE!</v>
      </c>
      <c r="CC18" t="e">
        <f>AND('Ark1'!D496,"AAAAAE/P3VA=")</f>
        <v>#VALUE!</v>
      </c>
      <c r="CD18" t="e">
        <f>AND('Ark1'!E496,"AAAAAE/P3VE=")</f>
        <v>#VALUE!</v>
      </c>
      <c r="CE18" t="e">
        <f>AND('Ark1'!F496,"AAAAAE/P3VI=")</f>
        <v>#VALUE!</v>
      </c>
      <c r="CF18" t="e">
        <f>AND('Ark1'!G496,"AAAAAE/P3VM=")</f>
        <v>#VALUE!</v>
      </c>
      <c r="CG18" t="e">
        <f>AND('Ark1'!H496,"AAAAAE/P3VQ=")</f>
        <v>#VALUE!</v>
      </c>
      <c r="CH18">
        <f>IF('Ark1'!497:497,"AAAAAE/P3VU=",0)</f>
        <v>0</v>
      </c>
      <c r="CI18" t="e">
        <f>AND('Ark1'!A497,"AAAAAE/P3VY=")</f>
        <v>#VALUE!</v>
      </c>
      <c r="CJ18" t="e">
        <f>AND('Ark1'!B497,"AAAAAE/P3Vc=")</f>
        <v>#VALUE!</v>
      </c>
      <c r="CK18" t="e">
        <f>AND('Ark1'!C497,"AAAAAE/P3Vg=")</f>
        <v>#VALUE!</v>
      </c>
      <c r="CL18" t="e">
        <f>AND('Ark1'!D497,"AAAAAE/P3Vk=")</f>
        <v>#VALUE!</v>
      </c>
      <c r="CM18" t="e">
        <f>AND('Ark1'!E497,"AAAAAE/P3Vo=")</f>
        <v>#VALUE!</v>
      </c>
      <c r="CN18" t="e">
        <f>AND('Ark1'!F497,"AAAAAE/P3Vs=")</f>
        <v>#VALUE!</v>
      </c>
      <c r="CO18" t="e">
        <f>AND('Ark1'!G497,"AAAAAE/P3Vw=")</f>
        <v>#VALUE!</v>
      </c>
      <c r="CP18" t="e">
        <f>AND('Ark1'!H497,"AAAAAE/P3V0=")</f>
        <v>#VALUE!</v>
      </c>
      <c r="CQ18">
        <f>IF('Ark1'!498:498,"AAAAAE/P3V4=",0)</f>
        <v>0</v>
      </c>
      <c r="CR18" t="e">
        <f>AND('Ark1'!A498,"AAAAAE/P3V8=")</f>
        <v>#VALUE!</v>
      </c>
      <c r="CS18" t="e">
        <f>AND('Ark1'!B498,"AAAAAE/P3WA=")</f>
        <v>#VALUE!</v>
      </c>
      <c r="CT18" t="e">
        <f>AND('Ark1'!C498,"AAAAAE/P3WE=")</f>
        <v>#VALUE!</v>
      </c>
      <c r="CU18" t="e">
        <f>AND('Ark1'!D498,"AAAAAE/P3WI=")</f>
        <v>#VALUE!</v>
      </c>
      <c r="CV18" t="e">
        <f>AND('Ark1'!E498,"AAAAAE/P3WM=")</f>
        <v>#VALUE!</v>
      </c>
      <c r="CW18" t="e">
        <f>AND('Ark1'!F498,"AAAAAE/P3WQ=")</f>
        <v>#VALUE!</v>
      </c>
      <c r="CX18" t="e">
        <f>AND('Ark1'!G498,"AAAAAE/P3WU=")</f>
        <v>#VALUE!</v>
      </c>
      <c r="CY18" t="e">
        <f>AND('Ark1'!H498,"AAAAAE/P3WY=")</f>
        <v>#VALUE!</v>
      </c>
      <c r="CZ18">
        <f>IF('Ark1'!499:499,"AAAAAE/P3Wc=",0)</f>
        <v>0</v>
      </c>
      <c r="DA18" t="e">
        <f>AND('Ark1'!A499,"AAAAAE/P3Wg=")</f>
        <v>#VALUE!</v>
      </c>
      <c r="DB18" t="e">
        <f>AND('Ark1'!B499,"AAAAAE/P3Wk=")</f>
        <v>#VALUE!</v>
      </c>
      <c r="DC18" t="e">
        <f>AND('Ark1'!C499,"AAAAAE/P3Wo=")</f>
        <v>#VALUE!</v>
      </c>
      <c r="DD18" t="e">
        <f>AND('Ark1'!D499,"AAAAAE/P3Ws=")</f>
        <v>#VALUE!</v>
      </c>
      <c r="DE18" t="e">
        <f>AND('Ark1'!E499,"AAAAAE/P3Ww=")</f>
        <v>#VALUE!</v>
      </c>
      <c r="DF18" t="e">
        <f>AND('Ark1'!F499,"AAAAAE/P3W0=")</f>
        <v>#VALUE!</v>
      </c>
      <c r="DG18" t="e">
        <f>AND('Ark1'!G499,"AAAAAE/P3W4=")</f>
        <v>#VALUE!</v>
      </c>
      <c r="DH18" t="e">
        <f>AND('Ark1'!H499,"AAAAAE/P3W8=")</f>
        <v>#VALUE!</v>
      </c>
      <c r="DI18">
        <f>IF('Ark1'!500:500,"AAAAAE/P3XA=",0)</f>
        <v>0</v>
      </c>
      <c r="DJ18" t="e">
        <f>AND('Ark1'!A500,"AAAAAE/P3XE=")</f>
        <v>#VALUE!</v>
      </c>
      <c r="DK18" t="e">
        <f>AND('Ark1'!B500,"AAAAAE/P3XI=")</f>
        <v>#VALUE!</v>
      </c>
      <c r="DL18" t="e">
        <f>AND('Ark1'!C500,"AAAAAE/P3XM=")</f>
        <v>#VALUE!</v>
      </c>
      <c r="DM18" t="e">
        <f>AND('Ark1'!D500,"AAAAAE/P3XQ=")</f>
        <v>#VALUE!</v>
      </c>
      <c r="DN18" t="e">
        <f>AND('Ark1'!E500,"AAAAAE/P3XU=")</f>
        <v>#VALUE!</v>
      </c>
      <c r="DO18" t="e">
        <f>AND('Ark1'!F500,"AAAAAE/P3XY=")</f>
        <v>#VALUE!</v>
      </c>
      <c r="DP18" t="e">
        <f>AND('Ark1'!G500,"AAAAAE/P3Xc=")</f>
        <v>#VALUE!</v>
      </c>
      <c r="DQ18" t="e">
        <f>AND('Ark1'!H500,"AAAAAE/P3Xg=")</f>
        <v>#VALUE!</v>
      </c>
      <c r="DR18">
        <f>IF('Ark1'!501:501,"AAAAAE/P3Xk=",0)</f>
        <v>0</v>
      </c>
      <c r="DS18" t="e">
        <f>AND('Ark1'!A501,"AAAAAE/P3Xo=")</f>
        <v>#VALUE!</v>
      </c>
      <c r="DT18" t="e">
        <f>AND('Ark1'!B501,"AAAAAE/P3Xs=")</f>
        <v>#VALUE!</v>
      </c>
      <c r="DU18" t="e">
        <f>AND('Ark1'!C501,"AAAAAE/P3Xw=")</f>
        <v>#VALUE!</v>
      </c>
      <c r="DV18" t="e">
        <f>AND('Ark1'!D501,"AAAAAE/P3X0=")</f>
        <v>#VALUE!</v>
      </c>
      <c r="DW18" t="e">
        <f>AND('Ark1'!E501,"AAAAAE/P3X4=")</f>
        <v>#VALUE!</v>
      </c>
      <c r="DX18" t="e">
        <f>AND('Ark1'!F501,"AAAAAE/P3X8=")</f>
        <v>#VALUE!</v>
      </c>
      <c r="DY18" t="e">
        <f>AND('Ark1'!G501,"AAAAAE/P3YA=")</f>
        <v>#VALUE!</v>
      </c>
      <c r="DZ18" t="e">
        <f>AND('Ark1'!H501,"AAAAAE/P3YE=")</f>
        <v>#VALUE!</v>
      </c>
      <c r="EA18">
        <f>IF('Ark1'!502:502,"AAAAAE/P3YI=",0)</f>
        <v>0</v>
      </c>
      <c r="EB18" t="e">
        <f>AND('Ark1'!A502,"AAAAAE/P3YM=")</f>
        <v>#VALUE!</v>
      </c>
      <c r="EC18" t="e">
        <f>AND('Ark1'!B502,"AAAAAE/P3YQ=")</f>
        <v>#VALUE!</v>
      </c>
      <c r="ED18" t="e">
        <f>AND('Ark1'!C502,"AAAAAE/P3YU=")</f>
        <v>#VALUE!</v>
      </c>
      <c r="EE18" t="e">
        <f>AND('Ark1'!D502,"AAAAAE/P3YY=")</f>
        <v>#VALUE!</v>
      </c>
      <c r="EF18" t="e">
        <f>AND('Ark1'!E502,"AAAAAE/P3Yc=")</f>
        <v>#VALUE!</v>
      </c>
      <c r="EG18" t="e">
        <f>AND('Ark1'!F502,"AAAAAE/P3Yg=")</f>
        <v>#VALUE!</v>
      </c>
      <c r="EH18" t="e">
        <f>AND('Ark1'!G502,"AAAAAE/P3Yk=")</f>
        <v>#VALUE!</v>
      </c>
      <c r="EI18" t="e">
        <f>AND('Ark1'!H502,"AAAAAE/P3Yo=")</f>
        <v>#VALUE!</v>
      </c>
      <c r="EJ18">
        <f>IF('Ark1'!503:503,"AAAAAE/P3Ys=",0)</f>
        <v>0</v>
      </c>
      <c r="EK18" t="e">
        <f>AND('Ark1'!A503,"AAAAAE/P3Yw=")</f>
        <v>#VALUE!</v>
      </c>
      <c r="EL18" t="e">
        <f>AND('Ark1'!B503,"AAAAAE/P3Y0=")</f>
        <v>#VALUE!</v>
      </c>
      <c r="EM18" t="e">
        <f>AND('Ark1'!C503,"AAAAAE/P3Y4=")</f>
        <v>#VALUE!</v>
      </c>
      <c r="EN18" t="e">
        <f>AND('Ark1'!D503,"AAAAAE/P3Y8=")</f>
        <v>#VALUE!</v>
      </c>
      <c r="EO18" t="e">
        <f>AND('Ark1'!E503,"AAAAAE/P3ZA=")</f>
        <v>#VALUE!</v>
      </c>
      <c r="EP18" t="e">
        <f>AND('Ark1'!F503,"AAAAAE/P3ZE=")</f>
        <v>#VALUE!</v>
      </c>
      <c r="EQ18" t="e">
        <f>AND('Ark1'!G503,"AAAAAE/P3ZI=")</f>
        <v>#VALUE!</v>
      </c>
      <c r="ER18" t="e">
        <f>AND('Ark1'!H503,"AAAAAE/P3ZM=")</f>
        <v>#VALUE!</v>
      </c>
      <c r="ES18">
        <f>IF('Ark1'!504:504,"AAAAAE/P3ZQ=",0)</f>
        <v>0</v>
      </c>
      <c r="ET18" t="e">
        <f>AND('Ark1'!A504,"AAAAAE/P3ZU=")</f>
        <v>#VALUE!</v>
      </c>
      <c r="EU18" t="e">
        <f>AND('Ark1'!B504,"AAAAAE/P3ZY=")</f>
        <v>#VALUE!</v>
      </c>
      <c r="EV18" t="e">
        <f>AND('Ark1'!C504,"AAAAAE/P3Zc=")</f>
        <v>#VALUE!</v>
      </c>
      <c r="EW18" t="e">
        <f>AND('Ark1'!D504,"AAAAAE/P3Zg=")</f>
        <v>#VALUE!</v>
      </c>
      <c r="EX18" t="e">
        <f>AND('Ark1'!E504,"AAAAAE/P3Zk=")</f>
        <v>#VALUE!</v>
      </c>
      <c r="EY18" t="e">
        <f>AND('Ark1'!F504,"AAAAAE/P3Zo=")</f>
        <v>#VALUE!</v>
      </c>
      <c r="EZ18" t="e">
        <f>AND('Ark1'!G504,"AAAAAE/P3Zs=")</f>
        <v>#VALUE!</v>
      </c>
      <c r="FA18" t="e">
        <f>AND('Ark1'!H504,"AAAAAE/P3Zw=")</f>
        <v>#VALUE!</v>
      </c>
      <c r="FB18">
        <f>IF('Ark1'!505:505,"AAAAAE/P3Z0=",0)</f>
        <v>0</v>
      </c>
      <c r="FC18" t="e">
        <f>AND('Ark1'!A505,"AAAAAE/P3Z4=")</f>
        <v>#VALUE!</v>
      </c>
      <c r="FD18" t="e">
        <f>AND('Ark1'!B505,"AAAAAE/P3Z8=")</f>
        <v>#VALUE!</v>
      </c>
      <c r="FE18" t="e">
        <f>AND('Ark1'!C505,"AAAAAE/P3aA=")</f>
        <v>#VALUE!</v>
      </c>
      <c r="FF18" t="e">
        <f>AND('Ark1'!D505,"AAAAAE/P3aE=")</f>
        <v>#VALUE!</v>
      </c>
      <c r="FG18" t="e">
        <f>AND('Ark1'!E505,"AAAAAE/P3aI=")</f>
        <v>#VALUE!</v>
      </c>
      <c r="FH18" t="e">
        <f>AND('Ark1'!F505,"AAAAAE/P3aM=")</f>
        <v>#VALUE!</v>
      </c>
      <c r="FI18" t="e">
        <f>AND('Ark1'!G505,"AAAAAE/P3aQ=")</f>
        <v>#VALUE!</v>
      </c>
      <c r="FJ18" t="e">
        <f>AND('Ark1'!H505,"AAAAAE/P3aU=")</f>
        <v>#VALUE!</v>
      </c>
      <c r="FK18">
        <f>IF('Ark1'!506:506,"AAAAAE/P3aY=",0)</f>
        <v>0</v>
      </c>
      <c r="FL18" t="e">
        <f>AND('Ark1'!A506,"AAAAAE/P3ac=")</f>
        <v>#VALUE!</v>
      </c>
      <c r="FM18" t="e">
        <f>AND('Ark1'!B506,"AAAAAE/P3ag=")</f>
        <v>#VALUE!</v>
      </c>
      <c r="FN18" t="e">
        <f>AND('Ark1'!C506,"AAAAAE/P3ak=")</f>
        <v>#VALUE!</v>
      </c>
      <c r="FO18" t="e">
        <f>AND('Ark1'!D506,"AAAAAE/P3ao=")</f>
        <v>#VALUE!</v>
      </c>
      <c r="FP18" t="e">
        <f>AND('Ark1'!E506,"AAAAAE/P3as=")</f>
        <v>#VALUE!</v>
      </c>
      <c r="FQ18" t="e">
        <f>AND('Ark1'!F506,"AAAAAE/P3aw=")</f>
        <v>#VALUE!</v>
      </c>
      <c r="FR18" t="e">
        <f>AND('Ark1'!G506,"AAAAAE/P3a0=")</f>
        <v>#VALUE!</v>
      </c>
      <c r="FS18" t="e">
        <f>AND('Ark1'!H506,"AAAAAE/P3a4=")</f>
        <v>#VALUE!</v>
      </c>
      <c r="FT18">
        <f>IF('Ark1'!507:507,"AAAAAE/P3a8=",0)</f>
        <v>0</v>
      </c>
      <c r="FU18" t="e">
        <f>AND('Ark1'!A507,"AAAAAE/P3bA=")</f>
        <v>#VALUE!</v>
      </c>
      <c r="FV18" t="e">
        <f>AND('Ark1'!B507,"AAAAAE/P3bE=")</f>
        <v>#VALUE!</v>
      </c>
      <c r="FW18" t="e">
        <f>AND('Ark1'!C507,"AAAAAE/P3bI=")</f>
        <v>#VALUE!</v>
      </c>
      <c r="FX18" t="e">
        <f>AND('Ark1'!D507,"AAAAAE/P3bM=")</f>
        <v>#VALUE!</v>
      </c>
      <c r="FY18" t="e">
        <f>AND('Ark1'!E507,"AAAAAE/P3bQ=")</f>
        <v>#VALUE!</v>
      </c>
      <c r="FZ18" t="e">
        <f>AND('Ark1'!F507,"AAAAAE/P3bU=")</f>
        <v>#VALUE!</v>
      </c>
      <c r="GA18" t="e">
        <f>AND('Ark1'!G507,"AAAAAE/P3bY=")</f>
        <v>#VALUE!</v>
      </c>
      <c r="GB18" t="e">
        <f>AND('Ark1'!H507,"AAAAAE/P3bc=")</f>
        <v>#VALUE!</v>
      </c>
      <c r="GC18">
        <f>IF('Ark1'!508:508,"AAAAAE/P3bg=",0)</f>
        <v>0</v>
      </c>
      <c r="GD18" t="e">
        <f>AND('Ark1'!A508,"AAAAAE/P3bk=")</f>
        <v>#VALUE!</v>
      </c>
      <c r="GE18" t="e">
        <f>AND('Ark1'!B508,"AAAAAE/P3bo=")</f>
        <v>#VALUE!</v>
      </c>
      <c r="GF18" t="e">
        <f>AND('Ark1'!C508,"AAAAAE/P3bs=")</f>
        <v>#VALUE!</v>
      </c>
      <c r="GG18" t="e">
        <f>AND('Ark1'!D508,"AAAAAE/P3bw=")</f>
        <v>#VALUE!</v>
      </c>
      <c r="GH18" t="e">
        <f>AND('Ark1'!E508,"AAAAAE/P3b0=")</f>
        <v>#VALUE!</v>
      </c>
      <c r="GI18" t="e">
        <f>AND('Ark1'!F508,"AAAAAE/P3b4=")</f>
        <v>#VALUE!</v>
      </c>
      <c r="GJ18" t="e">
        <f>AND('Ark1'!G508,"AAAAAE/P3b8=")</f>
        <v>#VALUE!</v>
      </c>
      <c r="GK18" t="e">
        <f>AND('Ark1'!H508,"AAAAAE/P3cA=")</f>
        <v>#VALUE!</v>
      </c>
      <c r="GL18">
        <f>IF('Ark1'!509:509,"AAAAAE/P3cE=",0)</f>
        <v>0</v>
      </c>
      <c r="GM18" t="e">
        <f>AND('Ark1'!A509,"AAAAAE/P3cI=")</f>
        <v>#VALUE!</v>
      </c>
      <c r="GN18" t="e">
        <f>AND('Ark1'!B509,"AAAAAE/P3cM=")</f>
        <v>#VALUE!</v>
      </c>
      <c r="GO18" t="e">
        <f>AND('Ark1'!C509,"AAAAAE/P3cQ=")</f>
        <v>#VALUE!</v>
      </c>
      <c r="GP18" t="e">
        <f>AND('Ark1'!D509,"AAAAAE/P3cU=")</f>
        <v>#VALUE!</v>
      </c>
      <c r="GQ18" t="e">
        <f>AND('Ark1'!E509,"AAAAAE/P3cY=")</f>
        <v>#VALUE!</v>
      </c>
      <c r="GR18" t="e">
        <f>AND('Ark1'!F509,"AAAAAE/P3cc=")</f>
        <v>#VALUE!</v>
      </c>
      <c r="GS18" t="e">
        <f>AND('Ark1'!G509,"AAAAAE/P3cg=")</f>
        <v>#VALUE!</v>
      </c>
      <c r="GT18" t="e">
        <f>AND('Ark1'!H509,"AAAAAE/P3ck=")</f>
        <v>#VALUE!</v>
      </c>
      <c r="GU18">
        <f>IF('Ark1'!510:510,"AAAAAE/P3co=",0)</f>
        <v>0</v>
      </c>
      <c r="GV18" t="e">
        <f>AND('Ark1'!A510,"AAAAAE/P3cs=")</f>
        <v>#VALUE!</v>
      </c>
      <c r="GW18" t="e">
        <f>AND('Ark1'!B510,"AAAAAE/P3cw=")</f>
        <v>#VALUE!</v>
      </c>
      <c r="GX18" t="e">
        <f>AND('Ark1'!C510,"AAAAAE/P3c0=")</f>
        <v>#VALUE!</v>
      </c>
      <c r="GY18" t="e">
        <f>AND('Ark1'!D510,"AAAAAE/P3c4=")</f>
        <v>#VALUE!</v>
      </c>
      <c r="GZ18" t="e">
        <f>AND('Ark1'!E510,"AAAAAE/P3c8=")</f>
        <v>#VALUE!</v>
      </c>
      <c r="HA18" t="e">
        <f>AND('Ark1'!F510,"AAAAAE/P3dA=")</f>
        <v>#VALUE!</v>
      </c>
      <c r="HB18" t="e">
        <f>AND('Ark1'!G510,"AAAAAE/P3dE=")</f>
        <v>#VALUE!</v>
      </c>
      <c r="HC18" t="e">
        <f>AND('Ark1'!H510,"AAAAAE/P3dI=")</f>
        <v>#VALUE!</v>
      </c>
      <c r="HD18">
        <f>IF('Ark1'!511:511,"AAAAAE/P3dM=",0)</f>
        <v>0</v>
      </c>
      <c r="HE18" t="e">
        <f>AND('Ark1'!A511,"AAAAAE/P3dQ=")</f>
        <v>#VALUE!</v>
      </c>
      <c r="HF18" t="e">
        <f>AND('Ark1'!B511,"AAAAAE/P3dU=")</f>
        <v>#VALUE!</v>
      </c>
      <c r="HG18" t="e">
        <f>AND('Ark1'!C511,"AAAAAE/P3dY=")</f>
        <v>#VALUE!</v>
      </c>
      <c r="HH18" t="e">
        <f>AND('Ark1'!D511,"AAAAAE/P3dc=")</f>
        <v>#VALUE!</v>
      </c>
      <c r="HI18" t="e">
        <f>AND('Ark1'!E511,"AAAAAE/P3dg=")</f>
        <v>#VALUE!</v>
      </c>
      <c r="HJ18" t="e">
        <f>AND('Ark1'!F511,"AAAAAE/P3dk=")</f>
        <v>#VALUE!</v>
      </c>
      <c r="HK18" t="e">
        <f>AND('Ark1'!G511,"AAAAAE/P3do=")</f>
        <v>#VALUE!</v>
      </c>
      <c r="HL18" t="e">
        <f>AND('Ark1'!H511,"AAAAAE/P3ds=")</f>
        <v>#VALUE!</v>
      </c>
      <c r="HM18">
        <f>IF('Ark1'!512:512,"AAAAAE/P3dw=",0)</f>
        <v>0</v>
      </c>
      <c r="HN18" t="e">
        <f>AND('Ark1'!A512,"AAAAAE/P3d0=")</f>
        <v>#VALUE!</v>
      </c>
      <c r="HO18" t="e">
        <f>AND('Ark1'!B512,"AAAAAE/P3d4=")</f>
        <v>#VALUE!</v>
      </c>
      <c r="HP18" t="e">
        <f>AND('Ark1'!C512,"AAAAAE/P3d8=")</f>
        <v>#VALUE!</v>
      </c>
      <c r="HQ18" t="e">
        <f>AND('Ark1'!D512,"AAAAAE/P3eA=")</f>
        <v>#VALUE!</v>
      </c>
      <c r="HR18" t="e">
        <f>AND('Ark1'!E512,"AAAAAE/P3eE=")</f>
        <v>#VALUE!</v>
      </c>
      <c r="HS18" t="e">
        <f>AND('Ark1'!F512,"AAAAAE/P3eI=")</f>
        <v>#VALUE!</v>
      </c>
      <c r="HT18" t="e">
        <f>AND('Ark1'!G512,"AAAAAE/P3eM=")</f>
        <v>#VALUE!</v>
      </c>
      <c r="HU18" t="e">
        <f>AND('Ark1'!H512,"AAAAAE/P3eQ=")</f>
        <v>#VALUE!</v>
      </c>
      <c r="HV18">
        <f>IF('Ark1'!513:513,"AAAAAE/P3eU=",0)</f>
        <v>0</v>
      </c>
      <c r="HW18" t="e">
        <f>AND('Ark1'!A513,"AAAAAE/P3eY=")</f>
        <v>#VALUE!</v>
      </c>
      <c r="HX18" t="e">
        <f>AND('Ark1'!B513,"AAAAAE/P3ec=")</f>
        <v>#VALUE!</v>
      </c>
      <c r="HY18" t="e">
        <f>AND('Ark1'!C513,"AAAAAE/P3eg=")</f>
        <v>#VALUE!</v>
      </c>
      <c r="HZ18" t="e">
        <f>AND('Ark1'!D513,"AAAAAE/P3ek=")</f>
        <v>#VALUE!</v>
      </c>
      <c r="IA18" t="e">
        <f>AND('Ark1'!E513,"AAAAAE/P3eo=")</f>
        <v>#VALUE!</v>
      </c>
      <c r="IB18" t="e">
        <f>AND('Ark1'!F513,"AAAAAE/P3es=")</f>
        <v>#VALUE!</v>
      </c>
      <c r="IC18" t="e">
        <f>AND('Ark1'!G513,"AAAAAE/P3ew=")</f>
        <v>#VALUE!</v>
      </c>
      <c r="ID18" t="e">
        <f>AND('Ark1'!H513,"AAAAAE/P3e0=")</f>
        <v>#VALUE!</v>
      </c>
      <c r="IE18">
        <f>IF('Ark1'!514:514,"AAAAAE/P3e4=",0)</f>
        <v>0</v>
      </c>
      <c r="IF18" t="e">
        <f>AND('Ark1'!A514,"AAAAAE/P3e8=")</f>
        <v>#VALUE!</v>
      </c>
      <c r="IG18" t="e">
        <f>AND('Ark1'!B514,"AAAAAE/P3fA=")</f>
        <v>#VALUE!</v>
      </c>
      <c r="IH18" t="e">
        <f>AND('Ark1'!C514,"AAAAAE/P3fE=")</f>
        <v>#VALUE!</v>
      </c>
      <c r="II18" t="e">
        <f>AND('Ark1'!D514,"AAAAAE/P3fI=")</f>
        <v>#VALUE!</v>
      </c>
      <c r="IJ18" t="e">
        <f>AND('Ark1'!E514,"AAAAAE/P3fM=")</f>
        <v>#VALUE!</v>
      </c>
      <c r="IK18" t="e">
        <f>AND('Ark1'!F514,"AAAAAE/P3fQ=")</f>
        <v>#VALUE!</v>
      </c>
      <c r="IL18" t="e">
        <f>AND('Ark1'!G514,"AAAAAE/P3fU=")</f>
        <v>#VALUE!</v>
      </c>
      <c r="IM18" t="e">
        <f>AND('Ark1'!H514,"AAAAAE/P3fY=")</f>
        <v>#VALUE!</v>
      </c>
      <c r="IN18">
        <f>IF('Ark1'!515:515,"AAAAAE/P3fc=",0)</f>
        <v>0</v>
      </c>
      <c r="IO18" t="e">
        <f>AND('Ark1'!A515,"AAAAAE/P3fg=")</f>
        <v>#VALUE!</v>
      </c>
      <c r="IP18" t="e">
        <f>AND('Ark1'!B515,"AAAAAE/P3fk=")</f>
        <v>#VALUE!</v>
      </c>
      <c r="IQ18" t="e">
        <f>AND('Ark1'!C515,"AAAAAE/P3fo=")</f>
        <v>#VALUE!</v>
      </c>
      <c r="IR18" t="e">
        <f>AND('Ark1'!D515,"AAAAAE/P3fs=")</f>
        <v>#VALUE!</v>
      </c>
      <c r="IS18" t="e">
        <f>AND('Ark1'!E515,"AAAAAE/P3fw=")</f>
        <v>#VALUE!</v>
      </c>
      <c r="IT18" t="e">
        <f>AND('Ark1'!F515,"AAAAAE/P3f0=")</f>
        <v>#VALUE!</v>
      </c>
      <c r="IU18" t="e">
        <f>AND('Ark1'!G515,"AAAAAE/P3f4=")</f>
        <v>#VALUE!</v>
      </c>
      <c r="IV18" t="e">
        <f>AND('Ark1'!H515,"AAAAAE/P3f8=")</f>
        <v>#VALUE!</v>
      </c>
    </row>
    <row r="19" spans="1:256" x14ac:dyDescent="0.25">
      <c r="A19">
        <f>IF('Ark1'!516:516,"AAAAADfMXQA=",0)</f>
        <v>0</v>
      </c>
      <c r="B19" t="e">
        <f>AND('Ark1'!A516,"AAAAADfMXQE=")</f>
        <v>#VALUE!</v>
      </c>
      <c r="C19" t="e">
        <f>AND('Ark1'!B516,"AAAAADfMXQI=")</f>
        <v>#VALUE!</v>
      </c>
      <c r="D19" t="e">
        <f>AND('Ark1'!C516,"AAAAADfMXQM=")</f>
        <v>#VALUE!</v>
      </c>
      <c r="E19" t="e">
        <f>AND('Ark1'!D516,"AAAAADfMXQQ=")</f>
        <v>#VALUE!</v>
      </c>
      <c r="F19" t="e">
        <f>AND('Ark1'!E516,"AAAAADfMXQU=")</f>
        <v>#VALUE!</v>
      </c>
      <c r="G19" t="e">
        <f>AND('Ark1'!F516,"AAAAADfMXQY=")</f>
        <v>#VALUE!</v>
      </c>
      <c r="H19" t="e">
        <f>AND('Ark1'!G516,"AAAAADfMXQc=")</f>
        <v>#VALUE!</v>
      </c>
      <c r="I19" t="e">
        <f>AND('Ark1'!H516,"AAAAADfMXQg=")</f>
        <v>#VALUE!</v>
      </c>
      <c r="J19">
        <f>IF('Ark1'!517:517,"AAAAADfMXQk=",0)</f>
        <v>0</v>
      </c>
      <c r="K19" t="e">
        <f>AND('Ark1'!A517,"AAAAADfMXQo=")</f>
        <v>#VALUE!</v>
      </c>
      <c r="L19" t="e">
        <f>AND('Ark1'!B517,"AAAAADfMXQs=")</f>
        <v>#VALUE!</v>
      </c>
      <c r="M19" t="e">
        <f>AND('Ark1'!C517,"AAAAADfMXQw=")</f>
        <v>#VALUE!</v>
      </c>
      <c r="N19" t="e">
        <f>AND('Ark1'!D517,"AAAAADfMXQ0=")</f>
        <v>#VALUE!</v>
      </c>
      <c r="O19" t="e">
        <f>AND('Ark1'!E517,"AAAAADfMXQ4=")</f>
        <v>#VALUE!</v>
      </c>
      <c r="P19" t="e">
        <f>AND('Ark1'!F517,"AAAAADfMXQ8=")</f>
        <v>#VALUE!</v>
      </c>
      <c r="Q19" t="e">
        <f>AND('Ark1'!G517,"AAAAADfMXRA=")</f>
        <v>#VALUE!</v>
      </c>
      <c r="R19" t="e">
        <f>AND('Ark1'!H517,"AAAAADfMXRE=")</f>
        <v>#VALUE!</v>
      </c>
      <c r="S19">
        <f>IF('Ark1'!518:518,"AAAAADfMXRI=",0)</f>
        <v>0</v>
      </c>
      <c r="T19" t="e">
        <f>AND('Ark1'!A518,"AAAAADfMXRM=")</f>
        <v>#VALUE!</v>
      </c>
      <c r="U19" t="e">
        <f>AND('Ark1'!B518,"AAAAADfMXRQ=")</f>
        <v>#VALUE!</v>
      </c>
      <c r="V19" t="e">
        <f>AND('Ark1'!C518,"AAAAADfMXRU=")</f>
        <v>#VALUE!</v>
      </c>
      <c r="W19" t="e">
        <f>AND('Ark1'!D518,"AAAAADfMXRY=")</f>
        <v>#VALUE!</v>
      </c>
      <c r="X19" t="e">
        <f>AND('Ark1'!E518,"AAAAADfMXRc=")</f>
        <v>#VALUE!</v>
      </c>
      <c r="Y19" t="e">
        <f>AND('Ark1'!F518,"AAAAADfMXRg=")</f>
        <v>#VALUE!</v>
      </c>
      <c r="Z19" t="e">
        <f>AND('Ark1'!G518,"AAAAADfMXRk=")</f>
        <v>#VALUE!</v>
      </c>
      <c r="AA19" t="e">
        <f>AND('Ark1'!H518,"AAAAADfMXRo=")</f>
        <v>#VALUE!</v>
      </c>
      <c r="AB19">
        <f>IF('Ark1'!519:519,"AAAAADfMXRs=",0)</f>
        <v>0</v>
      </c>
      <c r="AC19" t="e">
        <f>AND('Ark1'!A519,"AAAAADfMXRw=")</f>
        <v>#VALUE!</v>
      </c>
      <c r="AD19" t="e">
        <f>AND('Ark1'!B519,"AAAAADfMXR0=")</f>
        <v>#VALUE!</v>
      </c>
      <c r="AE19" t="e">
        <f>AND('Ark1'!C519,"AAAAADfMXR4=")</f>
        <v>#VALUE!</v>
      </c>
      <c r="AF19" t="e">
        <f>AND('Ark1'!D519,"AAAAADfMXR8=")</f>
        <v>#VALUE!</v>
      </c>
      <c r="AG19" t="e">
        <f>AND('Ark1'!E519,"AAAAADfMXSA=")</f>
        <v>#VALUE!</v>
      </c>
      <c r="AH19" t="e">
        <f>AND('Ark1'!F519,"AAAAADfMXSE=")</f>
        <v>#VALUE!</v>
      </c>
      <c r="AI19" t="e">
        <f>AND('Ark1'!G519,"AAAAADfMXSI=")</f>
        <v>#VALUE!</v>
      </c>
      <c r="AJ19" t="e">
        <f>AND('Ark1'!H519,"AAAAADfMXSM=")</f>
        <v>#VALUE!</v>
      </c>
      <c r="AK19">
        <f>IF('Ark1'!520:520,"AAAAADfMXSQ=",0)</f>
        <v>0</v>
      </c>
      <c r="AL19" t="e">
        <f>AND('Ark1'!A520,"AAAAADfMXSU=")</f>
        <v>#VALUE!</v>
      </c>
      <c r="AM19" t="e">
        <f>AND('Ark1'!B520,"AAAAADfMXSY=")</f>
        <v>#VALUE!</v>
      </c>
      <c r="AN19" t="e">
        <f>AND('Ark1'!C520,"AAAAADfMXSc=")</f>
        <v>#VALUE!</v>
      </c>
      <c r="AO19" t="e">
        <f>AND('Ark1'!D520,"AAAAADfMXSg=")</f>
        <v>#VALUE!</v>
      </c>
      <c r="AP19" t="e">
        <f>AND('Ark1'!E520,"AAAAADfMXSk=")</f>
        <v>#VALUE!</v>
      </c>
      <c r="AQ19" t="e">
        <f>AND('Ark1'!F520,"AAAAADfMXSo=")</f>
        <v>#VALUE!</v>
      </c>
      <c r="AR19" t="e">
        <f>AND('Ark1'!G520,"AAAAADfMXSs=")</f>
        <v>#VALUE!</v>
      </c>
      <c r="AS19" t="e">
        <f>AND('Ark1'!H520,"AAAAADfMXSw=")</f>
        <v>#VALUE!</v>
      </c>
      <c r="AT19">
        <f>IF('Ark1'!521:521,"AAAAADfMXS0=",0)</f>
        <v>0</v>
      </c>
      <c r="AU19" t="e">
        <f>AND('Ark1'!A521,"AAAAADfMXS4=")</f>
        <v>#VALUE!</v>
      </c>
      <c r="AV19" t="e">
        <f>AND('Ark1'!B521,"AAAAADfMXS8=")</f>
        <v>#VALUE!</v>
      </c>
      <c r="AW19" t="e">
        <f>AND('Ark1'!C521,"AAAAADfMXTA=")</f>
        <v>#VALUE!</v>
      </c>
      <c r="AX19" t="e">
        <f>AND('Ark1'!D521,"AAAAADfMXTE=")</f>
        <v>#VALUE!</v>
      </c>
      <c r="AY19" t="e">
        <f>AND('Ark1'!E521,"AAAAADfMXTI=")</f>
        <v>#VALUE!</v>
      </c>
      <c r="AZ19" t="e">
        <f>AND('Ark1'!F521,"AAAAADfMXTM=")</f>
        <v>#VALUE!</v>
      </c>
      <c r="BA19" t="e">
        <f>AND('Ark1'!G521,"AAAAADfMXTQ=")</f>
        <v>#VALUE!</v>
      </c>
      <c r="BB19" t="e">
        <f>AND('Ark1'!H521,"AAAAADfMXTU=")</f>
        <v>#VALUE!</v>
      </c>
      <c r="BC19">
        <f>IF('Ark1'!522:522,"AAAAADfMXTY=",0)</f>
        <v>0</v>
      </c>
      <c r="BD19" t="e">
        <f>AND('Ark1'!A522,"AAAAADfMXTc=")</f>
        <v>#VALUE!</v>
      </c>
      <c r="BE19" t="e">
        <f>AND('Ark1'!B522,"AAAAADfMXTg=")</f>
        <v>#VALUE!</v>
      </c>
      <c r="BF19" t="e">
        <f>AND('Ark1'!C522,"AAAAADfMXTk=")</f>
        <v>#VALUE!</v>
      </c>
      <c r="BG19" t="e">
        <f>AND('Ark1'!D522,"AAAAADfMXTo=")</f>
        <v>#VALUE!</v>
      </c>
      <c r="BH19" t="e">
        <f>AND('Ark1'!E522,"AAAAADfMXTs=")</f>
        <v>#VALUE!</v>
      </c>
      <c r="BI19" t="e">
        <f>AND('Ark1'!F522,"AAAAADfMXTw=")</f>
        <v>#VALUE!</v>
      </c>
      <c r="BJ19" t="e">
        <f>AND('Ark1'!G522,"AAAAADfMXT0=")</f>
        <v>#VALUE!</v>
      </c>
      <c r="BK19" t="e">
        <f>AND('Ark1'!H522,"AAAAADfMXT4=")</f>
        <v>#VALUE!</v>
      </c>
      <c r="BL19">
        <f>IF('Ark1'!523:523,"AAAAADfMXT8=",0)</f>
        <v>0</v>
      </c>
      <c r="BM19" t="e">
        <f>AND('Ark1'!A523,"AAAAADfMXUA=")</f>
        <v>#VALUE!</v>
      </c>
      <c r="BN19" t="e">
        <f>AND('Ark1'!B523,"AAAAADfMXUE=")</f>
        <v>#VALUE!</v>
      </c>
      <c r="BO19" t="e">
        <f>AND('Ark1'!C523,"AAAAADfMXUI=")</f>
        <v>#VALUE!</v>
      </c>
      <c r="BP19" t="e">
        <f>AND('Ark1'!D523,"AAAAADfMXUM=")</f>
        <v>#VALUE!</v>
      </c>
      <c r="BQ19" t="e">
        <f>AND('Ark1'!E523,"AAAAADfMXUQ=")</f>
        <v>#VALUE!</v>
      </c>
      <c r="BR19" t="e">
        <f>AND('Ark1'!F523,"AAAAADfMXUU=")</f>
        <v>#VALUE!</v>
      </c>
      <c r="BS19" t="e">
        <f>AND('Ark1'!G523,"AAAAADfMXUY=")</f>
        <v>#VALUE!</v>
      </c>
      <c r="BT19" t="e">
        <f>AND('Ark1'!H523,"AAAAADfMXUc=")</f>
        <v>#VALUE!</v>
      </c>
      <c r="BU19">
        <f>IF('Ark1'!524:524,"AAAAADfMXUg=",0)</f>
        <v>0</v>
      </c>
      <c r="BV19" t="e">
        <f>AND('Ark1'!A524,"AAAAADfMXUk=")</f>
        <v>#VALUE!</v>
      </c>
      <c r="BW19" t="e">
        <f>AND('Ark1'!B524,"AAAAADfMXUo=")</f>
        <v>#VALUE!</v>
      </c>
      <c r="BX19" t="e">
        <f>AND('Ark1'!C524,"AAAAADfMXUs=")</f>
        <v>#VALUE!</v>
      </c>
      <c r="BY19" t="e">
        <f>AND('Ark1'!D524,"AAAAADfMXUw=")</f>
        <v>#VALUE!</v>
      </c>
      <c r="BZ19" t="e">
        <f>AND('Ark1'!E524,"AAAAADfMXU0=")</f>
        <v>#VALUE!</v>
      </c>
      <c r="CA19" t="e">
        <f>AND('Ark1'!F524,"AAAAADfMXU4=")</f>
        <v>#VALUE!</v>
      </c>
      <c r="CB19" t="e">
        <f>AND('Ark1'!G524,"AAAAADfMXU8=")</f>
        <v>#VALUE!</v>
      </c>
      <c r="CC19" t="e">
        <f>AND('Ark1'!H524,"AAAAADfMXVA=")</f>
        <v>#VALUE!</v>
      </c>
      <c r="CD19">
        <f>IF('Ark1'!525:525,"AAAAADfMXVE=",0)</f>
        <v>0</v>
      </c>
      <c r="CE19" t="e">
        <f>AND('Ark1'!A525,"AAAAADfMXVI=")</f>
        <v>#VALUE!</v>
      </c>
      <c r="CF19" t="e">
        <f>AND('Ark1'!B525,"AAAAADfMXVM=")</f>
        <v>#VALUE!</v>
      </c>
      <c r="CG19" t="e">
        <f>AND('Ark1'!C525,"AAAAADfMXVQ=")</f>
        <v>#VALUE!</v>
      </c>
      <c r="CH19" t="e">
        <f>AND('Ark1'!D525,"AAAAADfMXVU=")</f>
        <v>#VALUE!</v>
      </c>
      <c r="CI19" t="e">
        <f>AND('Ark1'!E525,"AAAAADfMXVY=")</f>
        <v>#VALUE!</v>
      </c>
      <c r="CJ19" t="e">
        <f>AND('Ark1'!F525,"AAAAADfMXVc=")</f>
        <v>#VALUE!</v>
      </c>
      <c r="CK19" t="e">
        <f>AND('Ark1'!G525,"AAAAADfMXVg=")</f>
        <v>#VALUE!</v>
      </c>
      <c r="CL19" t="e">
        <f>AND('Ark1'!H525,"AAAAADfMXVk=")</f>
        <v>#VALUE!</v>
      </c>
      <c r="CM19">
        <f>IF('Ark1'!526:526,"AAAAADfMXVo=",0)</f>
        <v>0</v>
      </c>
      <c r="CN19" t="e">
        <f>AND('Ark1'!A526,"AAAAADfMXVs=")</f>
        <v>#VALUE!</v>
      </c>
      <c r="CO19" t="e">
        <f>AND('Ark1'!B526,"AAAAADfMXVw=")</f>
        <v>#VALUE!</v>
      </c>
      <c r="CP19" t="e">
        <f>AND('Ark1'!C526,"AAAAADfMXV0=")</f>
        <v>#VALUE!</v>
      </c>
      <c r="CQ19" t="e">
        <f>AND('Ark1'!D526,"AAAAADfMXV4=")</f>
        <v>#VALUE!</v>
      </c>
      <c r="CR19" t="e">
        <f>AND('Ark1'!E526,"AAAAADfMXV8=")</f>
        <v>#VALUE!</v>
      </c>
      <c r="CS19" t="e">
        <f>AND('Ark1'!F526,"AAAAADfMXWA=")</f>
        <v>#VALUE!</v>
      </c>
      <c r="CT19" t="e">
        <f>AND('Ark1'!G526,"AAAAADfMXWE=")</f>
        <v>#VALUE!</v>
      </c>
      <c r="CU19" t="e">
        <f>AND('Ark1'!H526,"AAAAADfMXWI=")</f>
        <v>#VALUE!</v>
      </c>
      <c r="CV19">
        <f>IF('Ark1'!527:527,"AAAAADfMXWM=",0)</f>
        <v>0</v>
      </c>
      <c r="CW19" t="e">
        <f>AND('Ark1'!A527,"AAAAADfMXWQ=")</f>
        <v>#VALUE!</v>
      </c>
      <c r="CX19" t="e">
        <f>AND('Ark1'!B527,"AAAAADfMXWU=")</f>
        <v>#VALUE!</v>
      </c>
      <c r="CY19" t="e">
        <f>AND('Ark1'!C527,"AAAAADfMXWY=")</f>
        <v>#VALUE!</v>
      </c>
      <c r="CZ19" t="e">
        <f>AND('Ark1'!D527,"AAAAADfMXWc=")</f>
        <v>#VALUE!</v>
      </c>
      <c r="DA19" t="e">
        <f>AND('Ark1'!E527,"AAAAADfMXWg=")</f>
        <v>#VALUE!</v>
      </c>
      <c r="DB19" t="e">
        <f>AND('Ark1'!F527,"AAAAADfMXWk=")</f>
        <v>#VALUE!</v>
      </c>
      <c r="DC19" t="e">
        <f>AND('Ark1'!G527,"AAAAADfMXWo=")</f>
        <v>#VALUE!</v>
      </c>
      <c r="DD19" t="e">
        <f>AND('Ark1'!H527,"AAAAADfMXWs=")</f>
        <v>#VALUE!</v>
      </c>
      <c r="DE19">
        <f>IF('Ark1'!528:528,"AAAAADfMXWw=",0)</f>
        <v>0</v>
      </c>
      <c r="DF19" t="e">
        <f>AND('Ark1'!A528,"AAAAADfMXW0=")</f>
        <v>#VALUE!</v>
      </c>
      <c r="DG19" t="e">
        <f>AND('Ark1'!B528,"AAAAADfMXW4=")</f>
        <v>#VALUE!</v>
      </c>
      <c r="DH19" t="e">
        <f>AND('Ark1'!C528,"AAAAADfMXW8=")</f>
        <v>#VALUE!</v>
      </c>
      <c r="DI19" t="e">
        <f>AND('Ark1'!D528,"AAAAADfMXXA=")</f>
        <v>#VALUE!</v>
      </c>
      <c r="DJ19" t="e">
        <f>AND('Ark1'!E528,"AAAAADfMXXE=")</f>
        <v>#VALUE!</v>
      </c>
      <c r="DK19" t="e">
        <f>AND('Ark1'!F528,"AAAAADfMXXI=")</f>
        <v>#VALUE!</v>
      </c>
      <c r="DL19" t="e">
        <f>AND('Ark1'!G528,"AAAAADfMXXM=")</f>
        <v>#VALUE!</v>
      </c>
      <c r="DM19" t="e">
        <f>AND('Ark1'!H528,"AAAAADfMXXQ=")</f>
        <v>#VALUE!</v>
      </c>
      <c r="DN19">
        <f>IF('Ark1'!529:529,"AAAAADfMXXU=",0)</f>
        <v>0</v>
      </c>
      <c r="DO19" t="e">
        <f>AND('Ark1'!A529,"AAAAADfMXXY=")</f>
        <v>#VALUE!</v>
      </c>
      <c r="DP19" t="e">
        <f>AND('Ark1'!B529,"AAAAADfMXXc=")</f>
        <v>#VALUE!</v>
      </c>
      <c r="DQ19" t="e">
        <f>AND('Ark1'!C529,"AAAAADfMXXg=")</f>
        <v>#VALUE!</v>
      </c>
      <c r="DR19" t="e">
        <f>AND('Ark1'!D529,"AAAAADfMXXk=")</f>
        <v>#VALUE!</v>
      </c>
      <c r="DS19" t="e">
        <f>AND('Ark1'!E529,"AAAAADfMXXo=")</f>
        <v>#VALUE!</v>
      </c>
      <c r="DT19" t="e">
        <f>AND('Ark1'!F529,"AAAAADfMXXs=")</f>
        <v>#VALUE!</v>
      </c>
      <c r="DU19" t="e">
        <f>AND('Ark1'!G529,"AAAAADfMXXw=")</f>
        <v>#VALUE!</v>
      </c>
      <c r="DV19" t="e">
        <f>AND('Ark1'!H529,"AAAAADfMXX0=")</f>
        <v>#VALUE!</v>
      </c>
      <c r="DW19">
        <f>IF('Ark1'!530:530,"AAAAADfMXX4=",0)</f>
        <v>0</v>
      </c>
      <c r="DX19" t="e">
        <f>AND('Ark1'!A530,"AAAAADfMXX8=")</f>
        <v>#VALUE!</v>
      </c>
      <c r="DY19" t="e">
        <f>AND('Ark1'!B530,"AAAAADfMXYA=")</f>
        <v>#VALUE!</v>
      </c>
      <c r="DZ19" t="e">
        <f>AND('Ark1'!C530,"AAAAADfMXYE=")</f>
        <v>#VALUE!</v>
      </c>
      <c r="EA19" t="e">
        <f>AND('Ark1'!D530,"AAAAADfMXYI=")</f>
        <v>#VALUE!</v>
      </c>
      <c r="EB19" t="e">
        <f>AND('Ark1'!E530,"AAAAADfMXYM=")</f>
        <v>#VALUE!</v>
      </c>
      <c r="EC19" t="e">
        <f>AND('Ark1'!F530,"AAAAADfMXYQ=")</f>
        <v>#VALUE!</v>
      </c>
      <c r="ED19" t="e">
        <f>AND('Ark1'!G530,"AAAAADfMXYU=")</f>
        <v>#VALUE!</v>
      </c>
      <c r="EE19" t="e">
        <f>AND('Ark1'!H530,"AAAAADfMXYY=")</f>
        <v>#VALUE!</v>
      </c>
      <c r="EF19">
        <f>IF('Ark1'!531:531,"AAAAADfMXYc=",0)</f>
        <v>0</v>
      </c>
      <c r="EG19" t="e">
        <f>AND('Ark1'!A531,"AAAAADfMXYg=")</f>
        <v>#VALUE!</v>
      </c>
      <c r="EH19" t="e">
        <f>AND('Ark1'!B531,"AAAAADfMXYk=")</f>
        <v>#VALUE!</v>
      </c>
      <c r="EI19" t="e">
        <f>AND('Ark1'!C531,"AAAAADfMXYo=")</f>
        <v>#VALUE!</v>
      </c>
      <c r="EJ19" t="e">
        <f>AND('Ark1'!D531,"AAAAADfMXYs=")</f>
        <v>#VALUE!</v>
      </c>
      <c r="EK19" t="e">
        <f>AND('Ark1'!E531,"AAAAADfMXYw=")</f>
        <v>#VALUE!</v>
      </c>
      <c r="EL19" t="e">
        <f>AND('Ark1'!F531,"AAAAADfMXY0=")</f>
        <v>#VALUE!</v>
      </c>
      <c r="EM19" t="e">
        <f>AND('Ark1'!G531,"AAAAADfMXY4=")</f>
        <v>#VALUE!</v>
      </c>
      <c r="EN19" t="e">
        <f>AND('Ark1'!H531,"AAAAADfMXY8=")</f>
        <v>#VALUE!</v>
      </c>
      <c r="EO19">
        <f>IF('Ark1'!532:532,"AAAAADfMXZA=",0)</f>
        <v>0</v>
      </c>
      <c r="EP19" t="e">
        <f>AND('Ark1'!A532,"AAAAADfMXZE=")</f>
        <v>#VALUE!</v>
      </c>
      <c r="EQ19" t="e">
        <f>AND('Ark1'!B532,"AAAAADfMXZI=")</f>
        <v>#VALUE!</v>
      </c>
      <c r="ER19" t="e">
        <f>AND('Ark1'!C532,"AAAAADfMXZM=")</f>
        <v>#VALUE!</v>
      </c>
      <c r="ES19" t="e">
        <f>AND('Ark1'!D532,"AAAAADfMXZQ=")</f>
        <v>#VALUE!</v>
      </c>
      <c r="ET19" t="e">
        <f>AND('Ark1'!E532,"AAAAADfMXZU=")</f>
        <v>#VALUE!</v>
      </c>
      <c r="EU19" t="e">
        <f>AND('Ark1'!F532,"AAAAADfMXZY=")</f>
        <v>#VALUE!</v>
      </c>
      <c r="EV19" t="e">
        <f>AND('Ark1'!G532,"AAAAADfMXZc=")</f>
        <v>#VALUE!</v>
      </c>
      <c r="EW19" t="e">
        <f>AND('Ark1'!H532,"AAAAADfMXZg=")</f>
        <v>#VALUE!</v>
      </c>
      <c r="EX19">
        <f>IF('Ark1'!533:533,"AAAAADfMXZk=",0)</f>
        <v>0</v>
      </c>
      <c r="EY19" t="e">
        <f>AND('Ark1'!A533,"AAAAADfMXZo=")</f>
        <v>#VALUE!</v>
      </c>
      <c r="EZ19" t="e">
        <f>AND('Ark1'!B533,"AAAAADfMXZs=")</f>
        <v>#VALUE!</v>
      </c>
      <c r="FA19" t="e">
        <f>AND('Ark1'!C533,"AAAAADfMXZw=")</f>
        <v>#VALUE!</v>
      </c>
      <c r="FB19" t="e">
        <f>AND('Ark1'!D533,"AAAAADfMXZ0=")</f>
        <v>#VALUE!</v>
      </c>
      <c r="FC19" t="e">
        <f>AND('Ark1'!E533,"AAAAADfMXZ4=")</f>
        <v>#VALUE!</v>
      </c>
      <c r="FD19" t="e">
        <f>AND('Ark1'!F533,"AAAAADfMXZ8=")</f>
        <v>#VALUE!</v>
      </c>
      <c r="FE19" t="e">
        <f>AND('Ark1'!G533,"AAAAADfMXaA=")</f>
        <v>#VALUE!</v>
      </c>
      <c r="FF19" t="e">
        <f>AND('Ark1'!H533,"AAAAADfMXaE=")</f>
        <v>#VALUE!</v>
      </c>
      <c r="FG19">
        <f>IF('Ark1'!534:534,"AAAAADfMXaI=",0)</f>
        <v>0</v>
      </c>
      <c r="FH19" t="e">
        <f>AND('Ark1'!A534,"AAAAADfMXaM=")</f>
        <v>#VALUE!</v>
      </c>
      <c r="FI19" t="e">
        <f>AND('Ark1'!B534,"AAAAADfMXaQ=")</f>
        <v>#VALUE!</v>
      </c>
      <c r="FJ19" t="e">
        <f>AND('Ark1'!C534,"AAAAADfMXaU=")</f>
        <v>#VALUE!</v>
      </c>
      <c r="FK19" t="e">
        <f>AND('Ark1'!D534,"AAAAADfMXaY=")</f>
        <v>#VALUE!</v>
      </c>
      <c r="FL19" t="e">
        <f>AND('Ark1'!E534,"AAAAADfMXac=")</f>
        <v>#VALUE!</v>
      </c>
      <c r="FM19" t="e">
        <f>AND('Ark1'!F534,"AAAAADfMXag=")</f>
        <v>#VALUE!</v>
      </c>
      <c r="FN19" t="e">
        <f>AND('Ark1'!G534,"AAAAADfMXak=")</f>
        <v>#VALUE!</v>
      </c>
      <c r="FO19" t="e">
        <f>AND('Ark1'!H534,"AAAAADfMXao=")</f>
        <v>#VALUE!</v>
      </c>
      <c r="FP19">
        <f>IF('Ark1'!535:535,"AAAAADfMXas=",0)</f>
        <v>0</v>
      </c>
      <c r="FQ19" t="e">
        <f>AND('Ark1'!A535,"AAAAADfMXaw=")</f>
        <v>#VALUE!</v>
      </c>
      <c r="FR19" t="e">
        <f>AND('Ark1'!B535,"AAAAADfMXa0=")</f>
        <v>#VALUE!</v>
      </c>
      <c r="FS19" t="e">
        <f>AND('Ark1'!C535,"AAAAADfMXa4=")</f>
        <v>#VALUE!</v>
      </c>
      <c r="FT19" t="e">
        <f>AND('Ark1'!D535,"AAAAADfMXa8=")</f>
        <v>#VALUE!</v>
      </c>
      <c r="FU19" t="e">
        <f>AND('Ark1'!E535,"AAAAADfMXbA=")</f>
        <v>#VALUE!</v>
      </c>
      <c r="FV19" t="e">
        <f>AND('Ark1'!F535,"AAAAADfMXbE=")</f>
        <v>#VALUE!</v>
      </c>
      <c r="FW19" t="e">
        <f>AND('Ark1'!G535,"AAAAADfMXbI=")</f>
        <v>#VALUE!</v>
      </c>
      <c r="FX19" t="e">
        <f>AND('Ark1'!H535,"AAAAADfMXbM=")</f>
        <v>#VALUE!</v>
      </c>
      <c r="FY19">
        <f>IF('Ark1'!536:536,"AAAAADfMXbQ=",0)</f>
        <v>0</v>
      </c>
      <c r="FZ19" t="e">
        <f>AND('Ark1'!A536,"AAAAADfMXbU=")</f>
        <v>#VALUE!</v>
      </c>
      <c r="GA19" t="e">
        <f>AND('Ark1'!B536,"AAAAADfMXbY=")</f>
        <v>#VALUE!</v>
      </c>
      <c r="GB19" t="e">
        <f>AND('Ark1'!C536,"AAAAADfMXbc=")</f>
        <v>#VALUE!</v>
      </c>
      <c r="GC19" t="e">
        <f>AND('Ark1'!D536,"AAAAADfMXbg=")</f>
        <v>#VALUE!</v>
      </c>
      <c r="GD19" t="e">
        <f>AND('Ark1'!E536,"AAAAADfMXbk=")</f>
        <v>#VALUE!</v>
      </c>
      <c r="GE19" t="e">
        <f>AND('Ark1'!F536,"AAAAADfMXbo=")</f>
        <v>#VALUE!</v>
      </c>
      <c r="GF19" t="e">
        <f>AND('Ark1'!G536,"AAAAADfMXbs=")</f>
        <v>#VALUE!</v>
      </c>
      <c r="GG19" t="e">
        <f>AND('Ark1'!H536,"AAAAADfMXbw=")</f>
        <v>#VALUE!</v>
      </c>
      <c r="GH19">
        <f>IF('Ark1'!537:537,"AAAAADfMXb0=",0)</f>
        <v>0</v>
      </c>
      <c r="GI19" t="e">
        <f>AND('Ark1'!A537,"AAAAADfMXb4=")</f>
        <v>#VALUE!</v>
      </c>
      <c r="GJ19" t="e">
        <f>AND('Ark1'!B537,"AAAAADfMXb8=")</f>
        <v>#VALUE!</v>
      </c>
      <c r="GK19" t="e">
        <f>AND('Ark1'!C537,"AAAAADfMXcA=")</f>
        <v>#VALUE!</v>
      </c>
      <c r="GL19" t="e">
        <f>AND('Ark1'!D537,"AAAAADfMXcE=")</f>
        <v>#VALUE!</v>
      </c>
      <c r="GM19" t="e">
        <f>AND('Ark1'!E537,"AAAAADfMXcI=")</f>
        <v>#VALUE!</v>
      </c>
      <c r="GN19" t="e">
        <f>AND('Ark1'!F537,"AAAAADfMXcM=")</f>
        <v>#VALUE!</v>
      </c>
      <c r="GO19" t="e">
        <f>AND('Ark1'!G537,"AAAAADfMXcQ=")</f>
        <v>#VALUE!</v>
      </c>
      <c r="GP19" t="e">
        <f>AND('Ark1'!H537,"AAAAADfMXcU=")</f>
        <v>#VALUE!</v>
      </c>
      <c r="GQ19">
        <f>IF('Ark1'!538:538,"AAAAADfMXcY=",0)</f>
        <v>0</v>
      </c>
      <c r="GR19" t="e">
        <f>AND('Ark1'!A538,"AAAAADfMXcc=")</f>
        <v>#VALUE!</v>
      </c>
      <c r="GS19" t="e">
        <f>AND('Ark1'!B538,"AAAAADfMXcg=")</f>
        <v>#VALUE!</v>
      </c>
      <c r="GT19" t="e">
        <f>AND('Ark1'!C538,"AAAAADfMXck=")</f>
        <v>#VALUE!</v>
      </c>
      <c r="GU19" t="e">
        <f>AND('Ark1'!D538,"AAAAADfMXco=")</f>
        <v>#VALUE!</v>
      </c>
      <c r="GV19" t="e">
        <f>AND('Ark1'!E538,"AAAAADfMXcs=")</f>
        <v>#VALUE!</v>
      </c>
      <c r="GW19" t="e">
        <f>AND('Ark1'!F538,"AAAAADfMXcw=")</f>
        <v>#VALUE!</v>
      </c>
      <c r="GX19" t="e">
        <f>AND('Ark1'!G538,"AAAAADfMXc0=")</f>
        <v>#VALUE!</v>
      </c>
      <c r="GY19" t="e">
        <f>AND('Ark1'!H538,"AAAAADfMXc4=")</f>
        <v>#VALUE!</v>
      </c>
      <c r="GZ19">
        <f>IF('Ark1'!539:539,"AAAAADfMXc8=",0)</f>
        <v>0</v>
      </c>
      <c r="HA19" t="e">
        <f>AND('Ark1'!A539,"AAAAADfMXdA=")</f>
        <v>#VALUE!</v>
      </c>
      <c r="HB19" t="e">
        <f>AND('Ark1'!B539,"AAAAADfMXdE=")</f>
        <v>#VALUE!</v>
      </c>
      <c r="HC19" t="e">
        <f>AND('Ark1'!C539,"AAAAADfMXdI=")</f>
        <v>#VALUE!</v>
      </c>
      <c r="HD19" t="e">
        <f>AND('Ark1'!D539,"AAAAADfMXdM=")</f>
        <v>#VALUE!</v>
      </c>
      <c r="HE19" t="e">
        <f>AND('Ark1'!E539,"AAAAADfMXdQ=")</f>
        <v>#VALUE!</v>
      </c>
      <c r="HF19" t="e">
        <f>AND('Ark1'!F539,"AAAAADfMXdU=")</f>
        <v>#VALUE!</v>
      </c>
      <c r="HG19" t="e">
        <f>AND('Ark1'!G539,"AAAAADfMXdY=")</f>
        <v>#VALUE!</v>
      </c>
      <c r="HH19" t="e">
        <f>AND('Ark1'!H539,"AAAAADfMXdc=")</f>
        <v>#VALUE!</v>
      </c>
      <c r="HI19">
        <f>IF('Ark1'!540:540,"AAAAADfMXdg=",0)</f>
        <v>0</v>
      </c>
      <c r="HJ19" t="e">
        <f>AND('Ark1'!A540,"AAAAADfMXdk=")</f>
        <v>#VALUE!</v>
      </c>
      <c r="HK19" t="e">
        <f>AND('Ark1'!B540,"AAAAADfMXdo=")</f>
        <v>#VALUE!</v>
      </c>
      <c r="HL19" t="e">
        <f>AND('Ark1'!C540,"AAAAADfMXds=")</f>
        <v>#VALUE!</v>
      </c>
      <c r="HM19" t="e">
        <f>AND('Ark1'!D540,"AAAAADfMXdw=")</f>
        <v>#VALUE!</v>
      </c>
      <c r="HN19" t="e">
        <f>AND('Ark1'!E540,"AAAAADfMXd0=")</f>
        <v>#VALUE!</v>
      </c>
      <c r="HO19" t="e">
        <f>AND('Ark1'!F540,"AAAAADfMXd4=")</f>
        <v>#VALUE!</v>
      </c>
      <c r="HP19" t="e">
        <f>AND('Ark1'!G540,"AAAAADfMXd8=")</f>
        <v>#VALUE!</v>
      </c>
      <c r="HQ19" t="e">
        <f>AND('Ark1'!H540,"AAAAADfMXeA=")</f>
        <v>#VALUE!</v>
      </c>
      <c r="HR19">
        <f>IF('Ark1'!541:541,"AAAAADfMXeE=",0)</f>
        <v>0</v>
      </c>
      <c r="HS19" t="e">
        <f>AND('Ark1'!A541,"AAAAADfMXeI=")</f>
        <v>#VALUE!</v>
      </c>
      <c r="HT19" t="e">
        <f>AND('Ark1'!B541,"AAAAADfMXeM=")</f>
        <v>#VALUE!</v>
      </c>
      <c r="HU19" t="e">
        <f>AND('Ark1'!C541,"AAAAADfMXeQ=")</f>
        <v>#VALUE!</v>
      </c>
      <c r="HV19" t="e">
        <f>AND('Ark1'!D541,"AAAAADfMXeU=")</f>
        <v>#VALUE!</v>
      </c>
      <c r="HW19" t="e">
        <f>AND('Ark1'!E541,"AAAAADfMXeY=")</f>
        <v>#VALUE!</v>
      </c>
      <c r="HX19" t="e">
        <f>AND('Ark1'!F541,"AAAAADfMXec=")</f>
        <v>#VALUE!</v>
      </c>
      <c r="HY19" t="e">
        <f>AND('Ark1'!G541,"AAAAADfMXeg=")</f>
        <v>#VALUE!</v>
      </c>
      <c r="HZ19" t="e">
        <f>AND('Ark1'!H541,"AAAAADfMXek=")</f>
        <v>#VALUE!</v>
      </c>
      <c r="IA19">
        <f>IF('Ark1'!542:542,"AAAAADfMXeo=",0)</f>
        <v>0</v>
      </c>
      <c r="IB19" t="e">
        <f>AND('Ark1'!A542,"AAAAADfMXes=")</f>
        <v>#VALUE!</v>
      </c>
      <c r="IC19" t="e">
        <f>AND('Ark1'!B542,"AAAAADfMXew=")</f>
        <v>#VALUE!</v>
      </c>
      <c r="ID19" t="e">
        <f>AND('Ark1'!C542,"AAAAADfMXe0=")</f>
        <v>#VALUE!</v>
      </c>
      <c r="IE19" t="e">
        <f>AND('Ark1'!D542,"AAAAADfMXe4=")</f>
        <v>#VALUE!</v>
      </c>
      <c r="IF19" t="e">
        <f>AND('Ark1'!E542,"AAAAADfMXe8=")</f>
        <v>#VALUE!</v>
      </c>
      <c r="IG19" t="e">
        <f>AND('Ark1'!F542,"AAAAADfMXfA=")</f>
        <v>#VALUE!</v>
      </c>
      <c r="IH19" t="e">
        <f>AND('Ark1'!G542,"AAAAADfMXfE=")</f>
        <v>#VALUE!</v>
      </c>
      <c r="II19" t="e">
        <f>AND('Ark1'!H542,"AAAAADfMXfI=")</f>
        <v>#VALUE!</v>
      </c>
      <c r="IJ19">
        <f>IF('Ark1'!543:543,"AAAAADfMXfM=",0)</f>
        <v>0</v>
      </c>
      <c r="IK19" t="e">
        <f>AND('Ark1'!A543,"AAAAADfMXfQ=")</f>
        <v>#VALUE!</v>
      </c>
      <c r="IL19" t="e">
        <f>AND('Ark1'!B543,"AAAAADfMXfU=")</f>
        <v>#VALUE!</v>
      </c>
      <c r="IM19" t="e">
        <f>AND('Ark1'!C543,"AAAAADfMXfY=")</f>
        <v>#VALUE!</v>
      </c>
      <c r="IN19" t="e">
        <f>AND('Ark1'!D543,"AAAAADfMXfc=")</f>
        <v>#VALUE!</v>
      </c>
      <c r="IO19" t="e">
        <f>AND('Ark1'!E543,"AAAAADfMXfg=")</f>
        <v>#VALUE!</v>
      </c>
      <c r="IP19" t="e">
        <f>AND('Ark1'!F543,"AAAAADfMXfk=")</f>
        <v>#VALUE!</v>
      </c>
      <c r="IQ19" t="e">
        <f>AND('Ark1'!G543,"AAAAADfMXfo=")</f>
        <v>#VALUE!</v>
      </c>
      <c r="IR19" t="e">
        <f>AND('Ark1'!H543,"AAAAADfMXfs=")</f>
        <v>#VALUE!</v>
      </c>
      <c r="IS19">
        <f>IF('Ark1'!544:544,"AAAAADfMXfw=",0)</f>
        <v>0</v>
      </c>
      <c r="IT19" t="e">
        <f>AND('Ark1'!A544,"AAAAADfMXf0=")</f>
        <v>#VALUE!</v>
      </c>
      <c r="IU19" t="e">
        <f>AND('Ark1'!B544,"AAAAADfMXf4=")</f>
        <v>#VALUE!</v>
      </c>
      <c r="IV19" t="e">
        <f>AND('Ark1'!C544,"AAAAADfMXf8=")</f>
        <v>#VALUE!</v>
      </c>
    </row>
    <row r="20" spans="1:256" x14ac:dyDescent="0.25">
      <c r="A20" t="e">
        <f>AND('Ark1'!D544,"AAAAAHx9sQA=")</f>
        <v>#VALUE!</v>
      </c>
      <c r="B20" t="e">
        <f>AND('Ark1'!E544,"AAAAAHx9sQE=")</f>
        <v>#VALUE!</v>
      </c>
      <c r="C20" t="e">
        <f>AND('Ark1'!F544,"AAAAAHx9sQI=")</f>
        <v>#VALUE!</v>
      </c>
      <c r="D20" t="e">
        <f>AND('Ark1'!G544,"AAAAAHx9sQM=")</f>
        <v>#VALUE!</v>
      </c>
      <c r="E20" t="e">
        <f>AND('Ark1'!H544,"AAAAAHx9sQQ=")</f>
        <v>#VALUE!</v>
      </c>
      <c r="F20">
        <f>IF('Ark1'!545:545,"AAAAAHx9sQU=",0)</f>
        <v>0</v>
      </c>
      <c r="G20" t="e">
        <f>AND('Ark1'!A545,"AAAAAHx9sQY=")</f>
        <v>#VALUE!</v>
      </c>
      <c r="H20" t="e">
        <f>AND('Ark1'!B545,"AAAAAHx9sQc=")</f>
        <v>#VALUE!</v>
      </c>
      <c r="I20" t="e">
        <f>AND('Ark1'!C545,"AAAAAHx9sQg=")</f>
        <v>#VALUE!</v>
      </c>
      <c r="J20" t="e">
        <f>AND('Ark1'!D545,"AAAAAHx9sQk=")</f>
        <v>#VALUE!</v>
      </c>
      <c r="K20" t="e">
        <f>AND('Ark1'!E545,"AAAAAHx9sQo=")</f>
        <v>#VALUE!</v>
      </c>
      <c r="L20" t="e">
        <f>AND('Ark1'!F545,"AAAAAHx9sQs=")</f>
        <v>#VALUE!</v>
      </c>
      <c r="M20" t="e">
        <f>AND('Ark1'!G545,"AAAAAHx9sQw=")</f>
        <v>#VALUE!</v>
      </c>
      <c r="N20" t="e">
        <f>AND('Ark1'!H545,"AAAAAHx9sQ0=")</f>
        <v>#VALUE!</v>
      </c>
      <c r="O20">
        <f>IF('Ark1'!546:546,"AAAAAHx9sQ4=",0)</f>
        <v>0</v>
      </c>
      <c r="P20" t="e">
        <f>AND('Ark1'!A546,"AAAAAHx9sQ8=")</f>
        <v>#VALUE!</v>
      </c>
      <c r="Q20" t="e">
        <f>AND('Ark1'!B546,"AAAAAHx9sRA=")</f>
        <v>#VALUE!</v>
      </c>
      <c r="R20" t="e">
        <f>AND('Ark1'!C546,"AAAAAHx9sRE=")</f>
        <v>#VALUE!</v>
      </c>
      <c r="S20" t="e">
        <f>AND('Ark1'!D546,"AAAAAHx9sRI=")</f>
        <v>#VALUE!</v>
      </c>
      <c r="T20" t="e">
        <f>AND('Ark1'!E546,"AAAAAHx9sRM=")</f>
        <v>#VALUE!</v>
      </c>
      <c r="U20" t="e">
        <f>AND('Ark1'!F546,"AAAAAHx9sRQ=")</f>
        <v>#VALUE!</v>
      </c>
      <c r="V20" t="e">
        <f>AND('Ark1'!G546,"AAAAAHx9sRU=")</f>
        <v>#VALUE!</v>
      </c>
      <c r="W20" t="e">
        <f>AND('Ark1'!H546,"AAAAAHx9sRY=")</f>
        <v>#VALUE!</v>
      </c>
      <c r="X20">
        <f>IF('Ark1'!547:547,"AAAAAHx9sRc=",0)</f>
        <v>0</v>
      </c>
      <c r="Y20" t="e">
        <f>AND('Ark1'!A547,"AAAAAHx9sRg=")</f>
        <v>#VALUE!</v>
      </c>
      <c r="Z20" t="e">
        <f>AND('Ark1'!B547,"AAAAAHx9sRk=")</f>
        <v>#VALUE!</v>
      </c>
      <c r="AA20" t="e">
        <f>AND('Ark1'!C547,"AAAAAHx9sRo=")</f>
        <v>#VALUE!</v>
      </c>
      <c r="AB20" t="e">
        <f>AND('Ark1'!D547,"AAAAAHx9sRs=")</f>
        <v>#VALUE!</v>
      </c>
      <c r="AC20" t="e">
        <f>AND('Ark1'!E547,"AAAAAHx9sRw=")</f>
        <v>#VALUE!</v>
      </c>
      <c r="AD20" t="e">
        <f>AND('Ark1'!F547,"AAAAAHx9sR0=")</f>
        <v>#VALUE!</v>
      </c>
      <c r="AE20" t="e">
        <f>AND('Ark1'!G547,"AAAAAHx9sR4=")</f>
        <v>#VALUE!</v>
      </c>
      <c r="AF20" t="e">
        <f>AND('Ark1'!H547,"AAAAAHx9sR8=")</f>
        <v>#VALUE!</v>
      </c>
      <c r="AG20">
        <f>IF('Ark1'!548:548,"AAAAAHx9sSA=",0)</f>
        <v>0</v>
      </c>
      <c r="AH20" t="e">
        <f>AND('Ark1'!A548,"AAAAAHx9sSE=")</f>
        <v>#VALUE!</v>
      </c>
      <c r="AI20" t="e">
        <f>AND('Ark1'!B548,"AAAAAHx9sSI=")</f>
        <v>#VALUE!</v>
      </c>
      <c r="AJ20" t="e">
        <f>AND('Ark1'!C548,"AAAAAHx9sSM=")</f>
        <v>#VALUE!</v>
      </c>
      <c r="AK20" t="e">
        <f>AND('Ark1'!D548,"AAAAAHx9sSQ=")</f>
        <v>#VALUE!</v>
      </c>
      <c r="AL20" t="e">
        <f>AND('Ark1'!E548,"AAAAAHx9sSU=")</f>
        <v>#VALUE!</v>
      </c>
      <c r="AM20" t="e">
        <f>AND('Ark1'!F548,"AAAAAHx9sSY=")</f>
        <v>#VALUE!</v>
      </c>
      <c r="AN20" t="e">
        <f>AND('Ark1'!G548,"AAAAAHx9sSc=")</f>
        <v>#VALUE!</v>
      </c>
      <c r="AO20" t="e">
        <f>AND('Ark1'!H548,"AAAAAHx9sSg=")</f>
        <v>#VALUE!</v>
      </c>
      <c r="AP20">
        <f>IF('Ark1'!549:549,"AAAAAHx9sSk=",0)</f>
        <v>0</v>
      </c>
      <c r="AQ20" t="e">
        <f>AND('Ark1'!A549,"AAAAAHx9sSo=")</f>
        <v>#VALUE!</v>
      </c>
      <c r="AR20" t="e">
        <f>AND('Ark1'!B549,"AAAAAHx9sSs=")</f>
        <v>#VALUE!</v>
      </c>
      <c r="AS20" t="e">
        <f>AND('Ark1'!C549,"AAAAAHx9sSw=")</f>
        <v>#VALUE!</v>
      </c>
      <c r="AT20" t="e">
        <f>AND('Ark1'!D549,"AAAAAHx9sS0=")</f>
        <v>#VALUE!</v>
      </c>
      <c r="AU20" t="e">
        <f>AND('Ark1'!E549,"AAAAAHx9sS4=")</f>
        <v>#VALUE!</v>
      </c>
      <c r="AV20" t="e">
        <f>AND('Ark1'!F549,"AAAAAHx9sS8=")</f>
        <v>#VALUE!</v>
      </c>
      <c r="AW20" t="e">
        <f>AND('Ark1'!G549,"AAAAAHx9sTA=")</f>
        <v>#VALUE!</v>
      </c>
      <c r="AX20" t="e">
        <f>AND('Ark1'!H549,"AAAAAHx9sTE=")</f>
        <v>#VALUE!</v>
      </c>
      <c r="AY20">
        <f>IF('Ark1'!550:550,"AAAAAHx9sTI=",0)</f>
        <v>0</v>
      </c>
      <c r="AZ20" t="e">
        <f>AND('Ark1'!A550,"AAAAAHx9sTM=")</f>
        <v>#VALUE!</v>
      </c>
      <c r="BA20" t="e">
        <f>AND('Ark1'!B550,"AAAAAHx9sTQ=")</f>
        <v>#VALUE!</v>
      </c>
      <c r="BB20" t="e">
        <f>AND('Ark1'!C550,"AAAAAHx9sTU=")</f>
        <v>#VALUE!</v>
      </c>
      <c r="BC20" t="e">
        <f>AND('Ark1'!D550,"AAAAAHx9sTY=")</f>
        <v>#VALUE!</v>
      </c>
      <c r="BD20" t="e">
        <f>AND('Ark1'!E550,"AAAAAHx9sTc=")</f>
        <v>#VALUE!</v>
      </c>
      <c r="BE20" t="e">
        <f>AND('Ark1'!F550,"AAAAAHx9sTg=")</f>
        <v>#VALUE!</v>
      </c>
      <c r="BF20" t="e">
        <f>AND('Ark1'!G550,"AAAAAHx9sTk=")</f>
        <v>#VALUE!</v>
      </c>
      <c r="BG20" t="e">
        <f>AND('Ark1'!H550,"AAAAAHx9sTo=")</f>
        <v>#VALUE!</v>
      </c>
      <c r="BH20">
        <f>IF('Ark1'!551:551,"AAAAAHx9sTs=",0)</f>
        <v>0</v>
      </c>
      <c r="BI20" t="e">
        <f>AND('Ark1'!A551,"AAAAAHx9sTw=")</f>
        <v>#VALUE!</v>
      </c>
      <c r="BJ20" t="e">
        <f>AND('Ark1'!B551,"AAAAAHx9sT0=")</f>
        <v>#VALUE!</v>
      </c>
      <c r="BK20" t="e">
        <f>AND('Ark1'!C551,"AAAAAHx9sT4=")</f>
        <v>#VALUE!</v>
      </c>
      <c r="BL20" t="e">
        <f>AND('Ark1'!D551,"AAAAAHx9sT8=")</f>
        <v>#VALUE!</v>
      </c>
      <c r="BM20" t="e">
        <f>AND('Ark1'!E551,"AAAAAHx9sUA=")</f>
        <v>#VALUE!</v>
      </c>
      <c r="BN20" t="e">
        <f>AND('Ark1'!F551,"AAAAAHx9sUE=")</f>
        <v>#VALUE!</v>
      </c>
      <c r="BO20" t="e">
        <f>AND('Ark1'!G551,"AAAAAHx9sUI=")</f>
        <v>#VALUE!</v>
      </c>
      <c r="BP20" t="e">
        <f>AND('Ark1'!H551,"AAAAAHx9sUM=")</f>
        <v>#VALUE!</v>
      </c>
      <c r="BQ20">
        <f>IF('Ark1'!552:552,"AAAAAHx9sUQ=",0)</f>
        <v>0</v>
      </c>
      <c r="BR20" t="e">
        <f>AND('Ark1'!A552,"AAAAAHx9sUU=")</f>
        <v>#VALUE!</v>
      </c>
      <c r="BS20" t="e">
        <f>AND('Ark1'!B552,"AAAAAHx9sUY=")</f>
        <v>#VALUE!</v>
      </c>
      <c r="BT20" t="e">
        <f>AND('Ark1'!C552,"AAAAAHx9sUc=")</f>
        <v>#VALUE!</v>
      </c>
      <c r="BU20" t="e">
        <f>AND('Ark1'!D552,"AAAAAHx9sUg=")</f>
        <v>#VALUE!</v>
      </c>
      <c r="BV20" t="e">
        <f>AND('Ark1'!E552,"AAAAAHx9sUk=")</f>
        <v>#VALUE!</v>
      </c>
      <c r="BW20" t="e">
        <f>AND('Ark1'!F552,"AAAAAHx9sUo=")</f>
        <v>#VALUE!</v>
      </c>
      <c r="BX20" t="e">
        <f>AND('Ark1'!G552,"AAAAAHx9sUs=")</f>
        <v>#VALUE!</v>
      </c>
      <c r="BY20" t="e">
        <f>AND('Ark1'!H552,"AAAAAHx9sUw=")</f>
        <v>#VALUE!</v>
      </c>
      <c r="BZ20">
        <f>IF('Ark1'!553:553,"AAAAAHx9sU0=",0)</f>
        <v>0</v>
      </c>
      <c r="CA20" t="e">
        <f>AND('Ark1'!A553,"AAAAAHx9sU4=")</f>
        <v>#VALUE!</v>
      </c>
      <c r="CB20" t="e">
        <f>AND('Ark1'!B553,"AAAAAHx9sU8=")</f>
        <v>#VALUE!</v>
      </c>
      <c r="CC20" t="e">
        <f>AND('Ark1'!C553,"AAAAAHx9sVA=")</f>
        <v>#VALUE!</v>
      </c>
      <c r="CD20" t="e">
        <f>AND('Ark1'!D553,"AAAAAHx9sVE=")</f>
        <v>#VALUE!</v>
      </c>
      <c r="CE20" t="e">
        <f>AND('Ark1'!E553,"AAAAAHx9sVI=")</f>
        <v>#VALUE!</v>
      </c>
      <c r="CF20" t="e">
        <f>AND('Ark1'!F553,"AAAAAHx9sVM=")</f>
        <v>#VALUE!</v>
      </c>
      <c r="CG20" t="e">
        <f>AND('Ark1'!G553,"AAAAAHx9sVQ=")</f>
        <v>#VALUE!</v>
      </c>
      <c r="CH20" t="e">
        <f>AND('Ark1'!H553,"AAAAAHx9sVU=")</f>
        <v>#VALUE!</v>
      </c>
      <c r="CI20">
        <f>IF('Ark1'!554:554,"AAAAAHx9sVY=",0)</f>
        <v>0</v>
      </c>
      <c r="CJ20" t="e">
        <f>AND('Ark1'!A554,"AAAAAHx9sVc=")</f>
        <v>#VALUE!</v>
      </c>
      <c r="CK20" t="e">
        <f>AND('Ark1'!B554,"AAAAAHx9sVg=")</f>
        <v>#VALUE!</v>
      </c>
      <c r="CL20" t="e">
        <f>AND('Ark1'!C554,"AAAAAHx9sVk=")</f>
        <v>#VALUE!</v>
      </c>
      <c r="CM20" t="e">
        <f>AND('Ark1'!D554,"AAAAAHx9sVo=")</f>
        <v>#VALUE!</v>
      </c>
      <c r="CN20" t="e">
        <f>AND('Ark1'!E554,"AAAAAHx9sVs=")</f>
        <v>#VALUE!</v>
      </c>
      <c r="CO20" t="e">
        <f>AND('Ark1'!F554,"AAAAAHx9sVw=")</f>
        <v>#VALUE!</v>
      </c>
      <c r="CP20" t="e">
        <f>AND('Ark1'!G554,"AAAAAHx9sV0=")</f>
        <v>#VALUE!</v>
      </c>
      <c r="CQ20" t="e">
        <f>AND('Ark1'!H554,"AAAAAHx9sV4=")</f>
        <v>#VALUE!</v>
      </c>
      <c r="CR20">
        <f>IF('Ark1'!555:555,"AAAAAHx9sV8=",0)</f>
        <v>0</v>
      </c>
      <c r="CS20" t="e">
        <f>AND('Ark1'!A555,"AAAAAHx9sWA=")</f>
        <v>#VALUE!</v>
      </c>
      <c r="CT20" t="e">
        <f>AND('Ark1'!B555,"AAAAAHx9sWE=")</f>
        <v>#VALUE!</v>
      </c>
      <c r="CU20" t="e">
        <f>AND('Ark1'!C555,"AAAAAHx9sWI=")</f>
        <v>#VALUE!</v>
      </c>
      <c r="CV20" t="e">
        <f>AND('Ark1'!D555,"AAAAAHx9sWM=")</f>
        <v>#VALUE!</v>
      </c>
      <c r="CW20" t="e">
        <f>AND('Ark1'!E555,"AAAAAHx9sWQ=")</f>
        <v>#VALUE!</v>
      </c>
      <c r="CX20" t="e">
        <f>AND('Ark1'!F555,"AAAAAHx9sWU=")</f>
        <v>#VALUE!</v>
      </c>
      <c r="CY20" t="e">
        <f>AND('Ark1'!G555,"AAAAAHx9sWY=")</f>
        <v>#VALUE!</v>
      </c>
      <c r="CZ20" t="e">
        <f>AND('Ark1'!H555,"AAAAAHx9sWc=")</f>
        <v>#VALUE!</v>
      </c>
      <c r="DA20">
        <f>IF('Ark1'!556:556,"AAAAAHx9sWg=",0)</f>
        <v>0</v>
      </c>
      <c r="DB20" t="e">
        <f>AND('Ark1'!A556,"AAAAAHx9sWk=")</f>
        <v>#VALUE!</v>
      </c>
      <c r="DC20" t="e">
        <f>AND('Ark1'!B556,"AAAAAHx9sWo=")</f>
        <v>#VALUE!</v>
      </c>
      <c r="DD20" t="e">
        <f>AND('Ark1'!C556,"AAAAAHx9sWs=")</f>
        <v>#VALUE!</v>
      </c>
      <c r="DE20" t="e">
        <f>AND('Ark1'!D556,"AAAAAHx9sWw=")</f>
        <v>#VALUE!</v>
      </c>
      <c r="DF20" t="e">
        <f>AND('Ark1'!E556,"AAAAAHx9sW0=")</f>
        <v>#VALUE!</v>
      </c>
      <c r="DG20" t="e">
        <f>AND('Ark1'!F556,"AAAAAHx9sW4=")</f>
        <v>#VALUE!</v>
      </c>
      <c r="DH20" t="e">
        <f>AND('Ark1'!G556,"AAAAAHx9sW8=")</f>
        <v>#VALUE!</v>
      </c>
      <c r="DI20" t="e">
        <f>AND('Ark1'!H556,"AAAAAHx9sXA=")</f>
        <v>#VALUE!</v>
      </c>
      <c r="DJ20">
        <f>IF('Ark1'!557:557,"AAAAAHx9sXE=",0)</f>
        <v>0</v>
      </c>
      <c r="DK20" t="e">
        <f>AND('Ark1'!A557,"AAAAAHx9sXI=")</f>
        <v>#VALUE!</v>
      </c>
      <c r="DL20" t="e">
        <f>AND('Ark1'!B557,"AAAAAHx9sXM=")</f>
        <v>#VALUE!</v>
      </c>
      <c r="DM20" t="e">
        <f>AND('Ark1'!C557,"AAAAAHx9sXQ=")</f>
        <v>#VALUE!</v>
      </c>
      <c r="DN20" t="e">
        <f>AND('Ark1'!D557,"AAAAAHx9sXU=")</f>
        <v>#VALUE!</v>
      </c>
      <c r="DO20" t="e">
        <f>AND('Ark1'!E557,"AAAAAHx9sXY=")</f>
        <v>#VALUE!</v>
      </c>
      <c r="DP20" t="e">
        <f>AND('Ark1'!F557,"AAAAAHx9sXc=")</f>
        <v>#VALUE!</v>
      </c>
      <c r="DQ20" t="e">
        <f>AND('Ark1'!G557,"AAAAAHx9sXg=")</f>
        <v>#VALUE!</v>
      </c>
      <c r="DR20" t="e">
        <f>AND('Ark1'!H557,"AAAAAHx9sXk=")</f>
        <v>#VALUE!</v>
      </c>
      <c r="DS20">
        <f>IF('Ark1'!558:558,"AAAAAHx9sXo=",0)</f>
        <v>0</v>
      </c>
      <c r="DT20" t="e">
        <f>AND('Ark1'!A558,"AAAAAHx9sXs=")</f>
        <v>#VALUE!</v>
      </c>
      <c r="DU20" t="e">
        <f>AND('Ark1'!B558,"AAAAAHx9sXw=")</f>
        <v>#VALUE!</v>
      </c>
      <c r="DV20" t="e">
        <f>AND('Ark1'!C558,"AAAAAHx9sX0=")</f>
        <v>#VALUE!</v>
      </c>
      <c r="DW20" t="e">
        <f>AND('Ark1'!D558,"AAAAAHx9sX4=")</f>
        <v>#VALUE!</v>
      </c>
      <c r="DX20" t="e">
        <f>AND('Ark1'!E558,"AAAAAHx9sX8=")</f>
        <v>#VALUE!</v>
      </c>
      <c r="DY20" t="e">
        <f>AND('Ark1'!F558,"AAAAAHx9sYA=")</f>
        <v>#VALUE!</v>
      </c>
      <c r="DZ20" t="e">
        <f>AND('Ark1'!G558,"AAAAAHx9sYE=")</f>
        <v>#VALUE!</v>
      </c>
      <c r="EA20" t="e">
        <f>AND('Ark1'!H558,"AAAAAHx9sYI=")</f>
        <v>#VALUE!</v>
      </c>
      <c r="EB20">
        <f>IF('Ark1'!559:559,"AAAAAHx9sYM=",0)</f>
        <v>0</v>
      </c>
      <c r="EC20" t="e">
        <f>AND('Ark1'!A559,"AAAAAHx9sYQ=")</f>
        <v>#VALUE!</v>
      </c>
      <c r="ED20" t="e">
        <f>AND('Ark1'!B559,"AAAAAHx9sYU=")</f>
        <v>#VALUE!</v>
      </c>
      <c r="EE20" t="e">
        <f>AND('Ark1'!C559,"AAAAAHx9sYY=")</f>
        <v>#VALUE!</v>
      </c>
      <c r="EF20" t="e">
        <f>AND('Ark1'!D559,"AAAAAHx9sYc=")</f>
        <v>#VALUE!</v>
      </c>
      <c r="EG20" t="e">
        <f>AND('Ark1'!E559,"AAAAAHx9sYg=")</f>
        <v>#VALUE!</v>
      </c>
      <c r="EH20" t="e">
        <f>AND('Ark1'!F559,"AAAAAHx9sYk=")</f>
        <v>#VALUE!</v>
      </c>
      <c r="EI20" t="e">
        <f>AND('Ark1'!G559,"AAAAAHx9sYo=")</f>
        <v>#VALUE!</v>
      </c>
      <c r="EJ20" t="e">
        <f>AND('Ark1'!H559,"AAAAAHx9sYs=")</f>
        <v>#VALUE!</v>
      </c>
      <c r="EK20">
        <f>IF('Ark1'!560:560,"AAAAAHx9sYw=",0)</f>
        <v>0</v>
      </c>
      <c r="EL20" t="e">
        <f>AND('Ark1'!A560,"AAAAAHx9sY0=")</f>
        <v>#VALUE!</v>
      </c>
      <c r="EM20" t="e">
        <f>AND('Ark1'!B560,"AAAAAHx9sY4=")</f>
        <v>#VALUE!</v>
      </c>
      <c r="EN20" t="e">
        <f>AND('Ark1'!C560,"AAAAAHx9sY8=")</f>
        <v>#VALUE!</v>
      </c>
      <c r="EO20" t="e">
        <f>AND('Ark1'!D560,"AAAAAHx9sZA=")</f>
        <v>#VALUE!</v>
      </c>
      <c r="EP20" t="e">
        <f>AND('Ark1'!E560,"AAAAAHx9sZE=")</f>
        <v>#VALUE!</v>
      </c>
      <c r="EQ20" t="e">
        <f>AND('Ark1'!F560,"AAAAAHx9sZI=")</f>
        <v>#VALUE!</v>
      </c>
      <c r="ER20" t="e">
        <f>AND('Ark1'!G560,"AAAAAHx9sZM=")</f>
        <v>#VALUE!</v>
      </c>
      <c r="ES20" t="e">
        <f>AND('Ark1'!H560,"AAAAAHx9sZQ=")</f>
        <v>#VALUE!</v>
      </c>
      <c r="ET20">
        <f>IF('Ark1'!561:561,"AAAAAHx9sZU=",0)</f>
        <v>0</v>
      </c>
      <c r="EU20" t="e">
        <f>AND('Ark1'!A561,"AAAAAHx9sZY=")</f>
        <v>#VALUE!</v>
      </c>
      <c r="EV20" t="e">
        <f>AND('Ark1'!B561,"AAAAAHx9sZc=")</f>
        <v>#VALUE!</v>
      </c>
      <c r="EW20" t="e">
        <f>AND('Ark1'!C561,"AAAAAHx9sZg=")</f>
        <v>#VALUE!</v>
      </c>
      <c r="EX20" t="e">
        <f>AND('Ark1'!D561,"AAAAAHx9sZk=")</f>
        <v>#VALUE!</v>
      </c>
      <c r="EY20" t="e">
        <f>AND('Ark1'!E561,"AAAAAHx9sZo=")</f>
        <v>#VALUE!</v>
      </c>
      <c r="EZ20" t="e">
        <f>AND('Ark1'!F561,"AAAAAHx9sZs=")</f>
        <v>#VALUE!</v>
      </c>
      <c r="FA20" t="e">
        <f>AND('Ark1'!G561,"AAAAAHx9sZw=")</f>
        <v>#VALUE!</v>
      </c>
      <c r="FB20" t="e">
        <f>AND('Ark1'!H561,"AAAAAHx9sZ0=")</f>
        <v>#VALUE!</v>
      </c>
      <c r="FC20">
        <f>IF('Ark1'!562:562,"AAAAAHx9sZ4=",0)</f>
        <v>0</v>
      </c>
      <c r="FD20" t="e">
        <f>AND('Ark1'!A562,"AAAAAHx9sZ8=")</f>
        <v>#VALUE!</v>
      </c>
      <c r="FE20" t="e">
        <f>AND('Ark1'!B562,"AAAAAHx9saA=")</f>
        <v>#VALUE!</v>
      </c>
      <c r="FF20" t="e">
        <f>AND('Ark1'!C562,"AAAAAHx9saE=")</f>
        <v>#VALUE!</v>
      </c>
      <c r="FG20" t="e">
        <f>AND('Ark1'!D562,"AAAAAHx9saI=")</f>
        <v>#VALUE!</v>
      </c>
      <c r="FH20" t="e">
        <f>AND('Ark1'!E562,"AAAAAHx9saM=")</f>
        <v>#VALUE!</v>
      </c>
      <c r="FI20" t="e">
        <f>AND('Ark1'!F562,"AAAAAHx9saQ=")</f>
        <v>#VALUE!</v>
      </c>
      <c r="FJ20" t="e">
        <f>AND('Ark1'!G562,"AAAAAHx9saU=")</f>
        <v>#VALUE!</v>
      </c>
      <c r="FK20" t="e">
        <f>AND('Ark1'!H562,"AAAAAHx9saY=")</f>
        <v>#VALUE!</v>
      </c>
      <c r="FL20">
        <f>IF('Ark1'!563:563,"AAAAAHx9sac=",0)</f>
        <v>0</v>
      </c>
      <c r="FM20" t="e">
        <f>AND('Ark1'!A563,"AAAAAHx9sag=")</f>
        <v>#VALUE!</v>
      </c>
      <c r="FN20" t="e">
        <f>AND('Ark1'!B563,"AAAAAHx9sak=")</f>
        <v>#VALUE!</v>
      </c>
      <c r="FO20" t="e">
        <f>AND('Ark1'!C563,"AAAAAHx9sao=")</f>
        <v>#VALUE!</v>
      </c>
      <c r="FP20" t="e">
        <f>AND('Ark1'!D563,"AAAAAHx9sas=")</f>
        <v>#VALUE!</v>
      </c>
      <c r="FQ20" t="e">
        <f>AND('Ark1'!E563,"AAAAAHx9saw=")</f>
        <v>#VALUE!</v>
      </c>
      <c r="FR20" t="e">
        <f>AND('Ark1'!F563,"AAAAAHx9sa0=")</f>
        <v>#VALUE!</v>
      </c>
      <c r="FS20" t="e">
        <f>AND('Ark1'!G563,"AAAAAHx9sa4=")</f>
        <v>#VALUE!</v>
      </c>
      <c r="FT20" t="e">
        <f>AND('Ark1'!H563,"AAAAAHx9sa8=")</f>
        <v>#VALUE!</v>
      </c>
      <c r="FU20">
        <f>IF('Ark1'!564:564,"AAAAAHx9sbA=",0)</f>
        <v>0</v>
      </c>
      <c r="FV20" t="e">
        <f>AND('Ark1'!A564,"AAAAAHx9sbE=")</f>
        <v>#VALUE!</v>
      </c>
      <c r="FW20" t="e">
        <f>AND('Ark1'!B564,"AAAAAHx9sbI=")</f>
        <v>#VALUE!</v>
      </c>
      <c r="FX20" t="e">
        <f>AND('Ark1'!C564,"AAAAAHx9sbM=")</f>
        <v>#VALUE!</v>
      </c>
      <c r="FY20" t="e">
        <f>AND('Ark1'!D564,"AAAAAHx9sbQ=")</f>
        <v>#VALUE!</v>
      </c>
      <c r="FZ20" t="e">
        <f>AND('Ark1'!E564,"AAAAAHx9sbU=")</f>
        <v>#VALUE!</v>
      </c>
      <c r="GA20" t="e">
        <f>AND('Ark1'!F564,"AAAAAHx9sbY=")</f>
        <v>#VALUE!</v>
      </c>
      <c r="GB20" t="e">
        <f>AND('Ark1'!G564,"AAAAAHx9sbc=")</f>
        <v>#VALUE!</v>
      </c>
      <c r="GC20" t="e">
        <f>AND('Ark1'!H564,"AAAAAHx9sbg=")</f>
        <v>#VALUE!</v>
      </c>
      <c r="GD20">
        <f>IF('Ark1'!565:565,"AAAAAHx9sbk=",0)</f>
        <v>0</v>
      </c>
      <c r="GE20" t="e">
        <f>AND('Ark1'!A565,"AAAAAHx9sbo=")</f>
        <v>#VALUE!</v>
      </c>
      <c r="GF20" t="e">
        <f>AND('Ark1'!B565,"AAAAAHx9sbs=")</f>
        <v>#VALUE!</v>
      </c>
      <c r="GG20" t="e">
        <f>AND('Ark1'!C565,"AAAAAHx9sbw=")</f>
        <v>#VALUE!</v>
      </c>
      <c r="GH20" t="e">
        <f>AND('Ark1'!D565,"AAAAAHx9sb0=")</f>
        <v>#VALUE!</v>
      </c>
      <c r="GI20" t="e">
        <f>AND('Ark1'!E565,"AAAAAHx9sb4=")</f>
        <v>#VALUE!</v>
      </c>
      <c r="GJ20" t="e">
        <f>AND('Ark1'!F565,"AAAAAHx9sb8=")</f>
        <v>#VALUE!</v>
      </c>
      <c r="GK20" t="e">
        <f>AND('Ark1'!G565,"AAAAAHx9scA=")</f>
        <v>#VALUE!</v>
      </c>
      <c r="GL20" t="e">
        <f>AND('Ark1'!H565,"AAAAAHx9scE=")</f>
        <v>#VALUE!</v>
      </c>
      <c r="GM20">
        <f>IF('Ark1'!566:566,"AAAAAHx9scI=",0)</f>
        <v>0</v>
      </c>
      <c r="GN20" t="e">
        <f>AND('Ark1'!A566,"AAAAAHx9scM=")</f>
        <v>#VALUE!</v>
      </c>
      <c r="GO20" t="e">
        <f>AND('Ark1'!B566,"AAAAAHx9scQ=")</f>
        <v>#VALUE!</v>
      </c>
      <c r="GP20" t="e">
        <f>AND('Ark1'!C566,"AAAAAHx9scU=")</f>
        <v>#VALUE!</v>
      </c>
      <c r="GQ20" t="e">
        <f>AND('Ark1'!D566,"AAAAAHx9scY=")</f>
        <v>#VALUE!</v>
      </c>
      <c r="GR20" t="e">
        <f>AND('Ark1'!E566,"AAAAAHx9scc=")</f>
        <v>#VALUE!</v>
      </c>
      <c r="GS20" t="e">
        <f>AND('Ark1'!F566,"AAAAAHx9scg=")</f>
        <v>#VALUE!</v>
      </c>
      <c r="GT20" t="e">
        <f>AND('Ark1'!G566,"AAAAAHx9sck=")</f>
        <v>#VALUE!</v>
      </c>
      <c r="GU20" t="e">
        <f>AND('Ark1'!H566,"AAAAAHx9sco=")</f>
        <v>#VALUE!</v>
      </c>
      <c r="GV20">
        <f>IF('Ark1'!567:567,"AAAAAHx9scs=",0)</f>
        <v>0</v>
      </c>
      <c r="GW20" t="e">
        <f>AND('Ark1'!A567,"AAAAAHx9scw=")</f>
        <v>#VALUE!</v>
      </c>
      <c r="GX20" t="e">
        <f>AND('Ark1'!B567,"AAAAAHx9sc0=")</f>
        <v>#VALUE!</v>
      </c>
      <c r="GY20" t="e">
        <f>AND('Ark1'!C567,"AAAAAHx9sc4=")</f>
        <v>#VALUE!</v>
      </c>
      <c r="GZ20" t="e">
        <f>AND('Ark1'!D567,"AAAAAHx9sc8=")</f>
        <v>#VALUE!</v>
      </c>
      <c r="HA20" t="e">
        <f>AND('Ark1'!E567,"AAAAAHx9sdA=")</f>
        <v>#VALUE!</v>
      </c>
      <c r="HB20" t="e">
        <f>AND('Ark1'!F567,"AAAAAHx9sdE=")</f>
        <v>#VALUE!</v>
      </c>
      <c r="HC20" t="e">
        <f>AND('Ark1'!G567,"AAAAAHx9sdI=")</f>
        <v>#VALUE!</v>
      </c>
      <c r="HD20" t="e">
        <f>AND('Ark1'!H567,"AAAAAHx9sdM=")</f>
        <v>#VALUE!</v>
      </c>
      <c r="HE20">
        <f>IF('Ark1'!568:568,"AAAAAHx9sdQ=",0)</f>
        <v>0</v>
      </c>
      <c r="HF20" t="e">
        <f>AND('Ark1'!A568,"AAAAAHx9sdU=")</f>
        <v>#VALUE!</v>
      </c>
      <c r="HG20" t="e">
        <f>AND('Ark1'!B568,"AAAAAHx9sdY=")</f>
        <v>#VALUE!</v>
      </c>
      <c r="HH20" t="e">
        <f>AND('Ark1'!C568,"AAAAAHx9sdc=")</f>
        <v>#VALUE!</v>
      </c>
      <c r="HI20" t="e">
        <f>AND('Ark1'!D568,"AAAAAHx9sdg=")</f>
        <v>#VALUE!</v>
      </c>
      <c r="HJ20" t="e">
        <f>AND('Ark1'!E568,"AAAAAHx9sdk=")</f>
        <v>#VALUE!</v>
      </c>
      <c r="HK20" t="e">
        <f>AND('Ark1'!F568,"AAAAAHx9sdo=")</f>
        <v>#VALUE!</v>
      </c>
      <c r="HL20" t="e">
        <f>AND('Ark1'!G568,"AAAAAHx9sds=")</f>
        <v>#VALUE!</v>
      </c>
      <c r="HM20" t="e">
        <f>AND('Ark1'!H568,"AAAAAHx9sdw=")</f>
        <v>#VALUE!</v>
      </c>
      <c r="HN20">
        <f>IF('Ark1'!569:569,"AAAAAHx9sd0=",0)</f>
        <v>0</v>
      </c>
      <c r="HO20" t="e">
        <f>AND('Ark1'!A569,"AAAAAHx9sd4=")</f>
        <v>#VALUE!</v>
      </c>
      <c r="HP20" t="e">
        <f>AND('Ark1'!B569,"AAAAAHx9sd8=")</f>
        <v>#VALUE!</v>
      </c>
      <c r="HQ20" t="e">
        <f>AND('Ark1'!C569,"AAAAAHx9seA=")</f>
        <v>#VALUE!</v>
      </c>
      <c r="HR20" t="e">
        <f>AND('Ark1'!D569,"AAAAAHx9seE=")</f>
        <v>#VALUE!</v>
      </c>
      <c r="HS20" t="e">
        <f>AND('Ark1'!E569,"AAAAAHx9seI=")</f>
        <v>#VALUE!</v>
      </c>
      <c r="HT20" t="e">
        <f>AND('Ark1'!F569,"AAAAAHx9seM=")</f>
        <v>#VALUE!</v>
      </c>
      <c r="HU20" t="e">
        <f>AND('Ark1'!G569,"AAAAAHx9seQ=")</f>
        <v>#VALUE!</v>
      </c>
      <c r="HV20" t="e">
        <f>AND('Ark1'!H569,"AAAAAHx9seU=")</f>
        <v>#VALUE!</v>
      </c>
      <c r="HW20">
        <f>IF('Ark1'!570:570,"AAAAAHx9seY=",0)</f>
        <v>0</v>
      </c>
      <c r="HX20" t="e">
        <f>AND('Ark1'!A570,"AAAAAHx9sec=")</f>
        <v>#VALUE!</v>
      </c>
      <c r="HY20" t="e">
        <f>AND('Ark1'!B570,"AAAAAHx9seg=")</f>
        <v>#VALUE!</v>
      </c>
      <c r="HZ20" t="e">
        <f>AND('Ark1'!C570,"AAAAAHx9sek=")</f>
        <v>#VALUE!</v>
      </c>
      <c r="IA20" t="e">
        <f>AND('Ark1'!D570,"AAAAAHx9seo=")</f>
        <v>#VALUE!</v>
      </c>
      <c r="IB20" t="e">
        <f>AND('Ark1'!E570,"AAAAAHx9ses=")</f>
        <v>#VALUE!</v>
      </c>
      <c r="IC20" t="e">
        <f>AND('Ark1'!F570,"AAAAAHx9sew=")</f>
        <v>#VALUE!</v>
      </c>
      <c r="ID20" t="e">
        <f>AND('Ark1'!G570,"AAAAAHx9se0=")</f>
        <v>#VALUE!</v>
      </c>
      <c r="IE20" t="e">
        <f>AND('Ark1'!H570,"AAAAAHx9se4=")</f>
        <v>#VALUE!</v>
      </c>
      <c r="IF20">
        <f>IF('Ark1'!571:571,"AAAAAHx9se8=",0)</f>
        <v>0</v>
      </c>
      <c r="IG20" t="e">
        <f>AND('Ark1'!A571,"AAAAAHx9sfA=")</f>
        <v>#VALUE!</v>
      </c>
      <c r="IH20" t="e">
        <f>AND('Ark1'!B571,"AAAAAHx9sfE=")</f>
        <v>#VALUE!</v>
      </c>
      <c r="II20" t="e">
        <f>AND('Ark1'!C571,"AAAAAHx9sfI=")</f>
        <v>#VALUE!</v>
      </c>
      <c r="IJ20" t="e">
        <f>AND('Ark1'!D571,"AAAAAHx9sfM=")</f>
        <v>#VALUE!</v>
      </c>
      <c r="IK20" t="e">
        <f>AND('Ark1'!E571,"AAAAAHx9sfQ=")</f>
        <v>#VALUE!</v>
      </c>
      <c r="IL20" t="e">
        <f>AND('Ark1'!F571,"AAAAAHx9sfU=")</f>
        <v>#VALUE!</v>
      </c>
      <c r="IM20" t="e">
        <f>AND('Ark1'!G571,"AAAAAHx9sfY=")</f>
        <v>#VALUE!</v>
      </c>
      <c r="IN20" t="e">
        <f>AND('Ark1'!H571,"AAAAAHx9sfc=")</f>
        <v>#VALUE!</v>
      </c>
      <c r="IO20">
        <f>IF('Ark1'!572:572,"AAAAAHx9sfg=",0)</f>
        <v>0</v>
      </c>
      <c r="IP20" t="e">
        <f>AND('Ark1'!A572,"AAAAAHx9sfk=")</f>
        <v>#VALUE!</v>
      </c>
      <c r="IQ20" t="e">
        <f>AND('Ark1'!B572,"AAAAAHx9sfo=")</f>
        <v>#VALUE!</v>
      </c>
      <c r="IR20" t="e">
        <f>AND('Ark1'!C572,"AAAAAHx9sfs=")</f>
        <v>#VALUE!</v>
      </c>
      <c r="IS20" t="e">
        <f>AND('Ark1'!D572,"AAAAAHx9sfw=")</f>
        <v>#VALUE!</v>
      </c>
      <c r="IT20" t="e">
        <f>AND('Ark1'!E572,"AAAAAHx9sf0=")</f>
        <v>#VALUE!</v>
      </c>
      <c r="IU20" t="e">
        <f>AND('Ark1'!F572,"AAAAAHx9sf4=")</f>
        <v>#VALUE!</v>
      </c>
      <c r="IV20" t="e">
        <f>AND('Ark1'!G572,"AAAAAHx9sf8=")</f>
        <v>#VALUE!</v>
      </c>
    </row>
    <row r="21" spans="1:256" x14ac:dyDescent="0.25">
      <c r="A21" t="e">
        <f>AND('Ark1'!H572,"AAAAACjUtAA=")</f>
        <v>#VALUE!</v>
      </c>
      <c r="B21" t="e">
        <f>IF('Ark1'!573:573,"AAAAACjUtAE=",0)</f>
        <v>#VALUE!</v>
      </c>
      <c r="C21" t="e">
        <f>AND('Ark1'!A573,"AAAAACjUtAI=")</f>
        <v>#VALUE!</v>
      </c>
      <c r="D21" t="e">
        <f>AND('Ark1'!B573,"AAAAACjUtAM=")</f>
        <v>#VALUE!</v>
      </c>
      <c r="E21" t="e">
        <f>AND('Ark1'!C573,"AAAAACjUtAQ=")</f>
        <v>#VALUE!</v>
      </c>
      <c r="F21" t="e">
        <f>AND('Ark1'!D573,"AAAAACjUtAU=")</f>
        <v>#VALUE!</v>
      </c>
      <c r="G21" t="e">
        <f>AND('Ark1'!E573,"AAAAACjUtAY=")</f>
        <v>#VALUE!</v>
      </c>
      <c r="H21" t="e">
        <f>AND('Ark1'!F573,"AAAAACjUtAc=")</f>
        <v>#VALUE!</v>
      </c>
      <c r="I21" t="e">
        <f>AND('Ark1'!G573,"AAAAACjUtAg=")</f>
        <v>#VALUE!</v>
      </c>
      <c r="J21" t="e">
        <f>AND('Ark1'!H573,"AAAAACjUtAk=")</f>
        <v>#VALUE!</v>
      </c>
      <c r="K21">
        <f>IF('Ark1'!574:574,"AAAAACjUtAo=",0)</f>
        <v>0</v>
      </c>
      <c r="L21" t="e">
        <f>AND('Ark1'!A574,"AAAAACjUtAs=")</f>
        <v>#VALUE!</v>
      </c>
      <c r="M21" t="e">
        <f>AND('Ark1'!B574,"AAAAACjUtAw=")</f>
        <v>#VALUE!</v>
      </c>
      <c r="N21" t="e">
        <f>AND('Ark1'!C574,"AAAAACjUtA0=")</f>
        <v>#VALUE!</v>
      </c>
      <c r="O21" t="e">
        <f>AND('Ark1'!D574,"AAAAACjUtA4=")</f>
        <v>#VALUE!</v>
      </c>
      <c r="P21" t="e">
        <f>AND('Ark1'!E574,"AAAAACjUtA8=")</f>
        <v>#VALUE!</v>
      </c>
      <c r="Q21" t="e">
        <f>AND('Ark1'!F574,"AAAAACjUtBA=")</f>
        <v>#VALUE!</v>
      </c>
      <c r="R21" t="e">
        <f>AND('Ark1'!G574,"AAAAACjUtBE=")</f>
        <v>#VALUE!</v>
      </c>
      <c r="S21" t="e">
        <f>AND('Ark1'!H574,"AAAAACjUtBI=")</f>
        <v>#VALUE!</v>
      </c>
      <c r="T21">
        <f>IF('Ark1'!575:575,"AAAAACjUtBM=",0)</f>
        <v>0</v>
      </c>
      <c r="U21" t="e">
        <f>AND('Ark1'!A575,"AAAAACjUtBQ=")</f>
        <v>#VALUE!</v>
      </c>
      <c r="V21" t="e">
        <f>AND('Ark1'!B575,"AAAAACjUtBU=")</f>
        <v>#VALUE!</v>
      </c>
      <c r="W21" t="e">
        <f>AND('Ark1'!C575,"AAAAACjUtBY=")</f>
        <v>#VALUE!</v>
      </c>
      <c r="X21" t="e">
        <f>AND('Ark1'!D575,"AAAAACjUtBc=")</f>
        <v>#VALUE!</v>
      </c>
      <c r="Y21" t="e">
        <f>AND('Ark1'!E575,"AAAAACjUtBg=")</f>
        <v>#VALUE!</v>
      </c>
      <c r="Z21" t="e">
        <f>AND('Ark1'!F575,"AAAAACjUtBk=")</f>
        <v>#VALUE!</v>
      </c>
      <c r="AA21" t="e">
        <f>AND('Ark1'!G575,"AAAAACjUtBo=")</f>
        <v>#VALUE!</v>
      </c>
      <c r="AB21" t="e">
        <f>AND('Ark1'!H575,"AAAAACjUtBs=")</f>
        <v>#VALUE!</v>
      </c>
      <c r="AC21">
        <f>IF('Ark1'!576:576,"AAAAACjUtBw=",0)</f>
        <v>0</v>
      </c>
      <c r="AD21" t="e">
        <f>AND('Ark1'!A576,"AAAAACjUtB0=")</f>
        <v>#VALUE!</v>
      </c>
      <c r="AE21" t="e">
        <f>AND('Ark1'!B576,"AAAAACjUtB4=")</f>
        <v>#VALUE!</v>
      </c>
      <c r="AF21" t="e">
        <f>AND('Ark1'!C576,"AAAAACjUtB8=")</f>
        <v>#VALUE!</v>
      </c>
      <c r="AG21" t="e">
        <f>AND('Ark1'!D576,"AAAAACjUtCA=")</f>
        <v>#VALUE!</v>
      </c>
      <c r="AH21" t="e">
        <f>AND('Ark1'!E576,"AAAAACjUtCE=")</f>
        <v>#VALUE!</v>
      </c>
      <c r="AI21" t="e">
        <f>AND('Ark1'!F576,"AAAAACjUtCI=")</f>
        <v>#VALUE!</v>
      </c>
      <c r="AJ21" t="e">
        <f>AND('Ark1'!G576,"AAAAACjUtCM=")</f>
        <v>#VALUE!</v>
      </c>
      <c r="AK21" t="e">
        <f>AND('Ark1'!H576,"AAAAACjUtCQ=")</f>
        <v>#VALUE!</v>
      </c>
      <c r="AL21">
        <f>IF('Ark1'!577:577,"AAAAACjUtCU=",0)</f>
        <v>0</v>
      </c>
      <c r="AM21" t="e">
        <f>AND('Ark1'!A577,"AAAAACjUtCY=")</f>
        <v>#VALUE!</v>
      </c>
      <c r="AN21" t="e">
        <f>AND('Ark1'!B577,"AAAAACjUtCc=")</f>
        <v>#VALUE!</v>
      </c>
      <c r="AO21" t="e">
        <f>AND('Ark1'!C577,"AAAAACjUtCg=")</f>
        <v>#VALUE!</v>
      </c>
      <c r="AP21" t="e">
        <f>AND('Ark1'!D577,"AAAAACjUtCk=")</f>
        <v>#VALUE!</v>
      </c>
      <c r="AQ21" t="e">
        <f>AND('Ark1'!E577,"AAAAACjUtCo=")</f>
        <v>#VALUE!</v>
      </c>
      <c r="AR21" t="e">
        <f>AND('Ark1'!F577,"AAAAACjUtCs=")</f>
        <v>#VALUE!</v>
      </c>
      <c r="AS21" t="e">
        <f>AND('Ark1'!G577,"AAAAACjUtCw=")</f>
        <v>#VALUE!</v>
      </c>
      <c r="AT21" t="e">
        <f>AND('Ark1'!H577,"AAAAACjUtC0=")</f>
        <v>#VALUE!</v>
      </c>
      <c r="AU21">
        <f>IF('Ark1'!578:578,"AAAAACjUtC4=",0)</f>
        <v>0</v>
      </c>
      <c r="AV21" t="e">
        <f>AND('Ark1'!A578,"AAAAACjUtC8=")</f>
        <v>#VALUE!</v>
      </c>
      <c r="AW21" t="e">
        <f>AND('Ark1'!B578,"AAAAACjUtDA=")</f>
        <v>#VALUE!</v>
      </c>
      <c r="AX21" t="e">
        <f>AND('Ark1'!C578,"AAAAACjUtDE=")</f>
        <v>#VALUE!</v>
      </c>
      <c r="AY21" t="e">
        <f>AND('Ark1'!D578,"AAAAACjUtDI=")</f>
        <v>#VALUE!</v>
      </c>
      <c r="AZ21" t="e">
        <f>AND('Ark1'!E578,"AAAAACjUtDM=")</f>
        <v>#VALUE!</v>
      </c>
      <c r="BA21" t="e">
        <f>AND('Ark1'!F578,"AAAAACjUtDQ=")</f>
        <v>#VALUE!</v>
      </c>
      <c r="BB21" t="e">
        <f>AND('Ark1'!G578,"AAAAACjUtDU=")</f>
        <v>#VALUE!</v>
      </c>
      <c r="BC21" t="e">
        <f>AND('Ark1'!H578,"AAAAACjUtDY=")</f>
        <v>#VALUE!</v>
      </c>
      <c r="BD21">
        <f>IF('Ark1'!579:579,"AAAAACjUtDc=",0)</f>
        <v>0</v>
      </c>
      <c r="BE21" t="e">
        <f>AND('Ark1'!A579,"AAAAACjUtDg=")</f>
        <v>#VALUE!</v>
      </c>
      <c r="BF21" t="e">
        <f>AND('Ark1'!B579,"AAAAACjUtDk=")</f>
        <v>#VALUE!</v>
      </c>
      <c r="BG21" t="e">
        <f>AND('Ark1'!C579,"AAAAACjUtDo=")</f>
        <v>#VALUE!</v>
      </c>
      <c r="BH21" t="e">
        <f>AND('Ark1'!D579,"AAAAACjUtDs=")</f>
        <v>#VALUE!</v>
      </c>
      <c r="BI21" t="e">
        <f>AND('Ark1'!E579,"AAAAACjUtDw=")</f>
        <v>#VALUE!</v>
      </c>
      <c r="BJ21" t="e">
        <f>AND('Ark1'!F579,"AAAAACjUtD0=")</f>
        <v>#VALUE!</v>
      </c>
      <c r="BK21" t="e">
        <f>AND('Ark1'!G579,"AAAAACjUtD4=")</f>
        <v>#VALUE!</v>
      </c>
      <c r="BL21" t="e">
        <f>AND('Ark1'!H579,"AAAAACjUtD8=")</f>
        <v>#VALUE!</v>
      </c>
      <c r="BM21">
        <f>IF('Ark1'!580:580,"AAAAACjUtEA=",0)</f>
        <v>0</v>
      </c>
      <c r="BN21" t="e">
        <f>AND('Ark1'!A580,"AAAAACjUtEE=")</f>
        <v>#VALUE!</v>
      </c>
      <c r="BO21" t="e">
        <f>AND('Ark1'!B580,"AAAAACjUtEI=")</f>
        <v>#VALUE!</v>
      </c>
      <c r="BP21" t="e">
        <f>AND('Ark1'!C580,"AAAAACjUtEM=")</f>
        <v>#VALUE!</v>
      </c>
      <c r="BQ21" t="e">
        <f>AND('Ark1'!D580,"AAAAACjUtEQ=")</f>
        <v>#VALUE!</v>
      </c>
      <c r="BR21" t="e">
        <f>AND('Ark1'!E580,"AAAAACjUtEU=")</f>
        <v>#VALUE!</v>
      </c>
      <c r="BS21" t="e">
        <f>AND('Ark1'!F580,"AAAAACjUtEY=")</f>
        <v>#VALUE!</v>
      </c>
      <c r="BT21" t="e">
        <f>AND('Ark1'!G580,"AAAAACjUtEc=")</f>
        <v>#VALUE!</v>
      </c>
      <c r="BU21" t="e">
        <f>AND('Ark1'!H580,"AAAAACjUtEg=")</f>
        <v>#VALUE!</v>
      </c>
      <c r="BV21">
        <f>IF('Ark1'!581:581,"AAAAACjUtEk=",0)</f>
        <v>0</v>
      </c>
      <c r="BW21" t="e">
        <f>AND('Ark1'!A581,"AAAAACjUtEo=")</f>
        <v>#VALUE!</v>
      </c>
      <c r="BX21" t="e">
        <f>AND('Ark1'!B581,"AAAAACjUtEs=")</f>
        <v>#VALUE!</v>
      </c>
      <c r="BY21" t="e">
        <f>AND('Ark1'!C581,"AAAAACjUtEw=")</f>
        <v>#VALUE!</v>
      </c>
      <c r="BZ21" t="e">
        <f>AND('Ark1'!D581,"AAAAACjUtE0=")</f>
        <v>#VALUE!</v>
      </c>
      <c r="CA21" t="e">
        <f>AND('Ark1'!E581,"AAAAACjUtE4=")</f>
        <v>#VALUE!</v>
      </c>
      <c r="CB21" t="e">
        <f>AND('Ark1'!F581,"AAAAACjUtE8=")</f>
        <v>#VALUE!</v>
      </c>
      <c r="CC21" t="e">
        <f>AND('Ark1'!G581,"AAAAACjUtFA=")</f>
        <v>#VALUE!</v>
      </c>
      <c r="CD21" t="e">
        <f>AND('Ark1'!H581,"AAAAACjUtFE=")</f>
        <v>#VALUE!</v>
      </c>
      <c r="CE21">
        <f>IF('Ark1'!582:582,"AAAAACjUtFI=",0)</f>
        <v>0</v>
      </c>
      <c r="CF21" t="e">
        <f>AND('Ark1'!A582,"AAAAACjUtFM=")</f>
        <v>#VALUE!</v>
      </c>
      <c r="CG21" t="e">
        <f>AND('Ark1'!B582,"AAAAACjUtFQ=")</f>
        <v>#VALUE!</v>
      </c>
      <c r="CH21" t="e">
        <f>AND('Ark1'!C582,"AAAAACjUtFU=")</f>
        <v>#VALUE!</v>
      </c>
      <c r="CI21" t="e">
        <f>AND('Ark1'!D582,"AAAAACjUtFY=")</f>
        <v>#VALUE!</v>
      </c>
      <c r="CJ21" t="e">
        <f>AND('Ark1'!E582,"AAAAACjUtFc=")</f>
        <v>#VALUE!</v>
      </c>
      <c r="CK21" t="e">
        <f>AND('Ark1'!F582,"AAAAACjUtFg=")</f>
        <v>#VALUE!</v>
      </c>
      <c r="CL21" t="e">
        <f>AND('Ark1'!G582,"AAAAACjUtFk=")</f>
        <v>#VALUE!</v>
      </c>
      <c r="CM21" t="e">
        <f>AND('Ark1'!H582,"AAAAACjUtFo=")</f>
        <v>#VALUE!</v>
      </c>
      <c r="CN21">
        <f>IF('Ark1'!583:583,"AAAAACjUtFs=",0)</f>
        <v>0</v>
      </c>
      <c r="CO21" t="e">
        <f>AND('Ark1'!A583,"AAAAACjUtFw=")</f>
        <v>#VALUE!</v>
      </c>
      <c r="CP21" t="e">
        <f>AND('Ark1'!B583,"AAAAACjUtF0=")</f>
        <v>#VALUE!</v>
      </c>
      <c r="CQ21" t="e">
        <f>AND('Ark1'!C583,"AAAAACjUtF4=")</f>
        <v>#VALUE!</v>
      </c>
      <c r="CR21" t="e">
        <f>AND('Ark1'!D583,"AAAAACjUtF8=")</f>
        <v>#VALUE!</v>
      </c>
      <c r="CS21" t="e">
        <f>AND('Ark1'!E583,"AAAAACjUtGA=")</f>
        <v>#VALUE!</v>
      </c>
      <c r="CT21" t="e">
        <f>AND('Ark1'!F583,"AAAAACjUtGE=")</f>
        <v>#VALUE!</v>
      </c>
      <c r="CU21" t="e">
        <f>AND('Ark1'!G583,"AAAAACjUtGI=")</f>
        <v>#VALUE!</v>
      </c>
      <c r="CV21" t="e">
        <f>AND('Ark1'!H583,"AAAAACjUtGM=")</f>
        <v>#VALUE!</v>
      </c>
      <c r="CW21">
        <f>IF('Ark1'!584:584,"AAAAACjUtGQ=",0)</f>
        <v>0</v>
      </c>
      <c r="CX21" t="e">
        <f>AND('Ark1'!A584,"AAAAACjUtGU=")</f>
        <v>#VALUE!</v>
      </c>
      <c r="CY21" t="e">
        <f>AND('Ark1'!B584,"AAAAACjUtGY=")</f>
        <v>#VALUE!</v>
      </c>
      <c r="CZ21" t="e">
        <f>AND('Ark1'!C584,"AAAAACjUtGc=")</f>
        <v>#VALUE!</v>
      </c>
      <c r="DA21" t="e">
        <f>AND('Ark1'!D584,"AAAAACjUtGg=")</f>
        <v>#VALUE!</v>
      </c>
      <c r="DB21" t="e">
        <f>AND('Ark1'!E584,"AAAAACjUtGk=")</f>
        <v>#VALUE!</v>
      </c>
      <c r="DC21" t="e">
        <f>AND('Ark1'!F584,"AAAAACjUtGo=")</f>
        <v>#VALUE!</v>
      </c>
      <c r="DD21" t="e">
        <f>AND('Ark1'!G584,"AAAAACjUtGs=")</f>
        <v>#VALUE!</v>
      </c>
      <c r="DE21" t="e">
        <f>AND('Ark1'!H584,"AAAAACjUtGw=")</f>
        <v>#VALUE!</v>
      </c>
      <c r="DF21">
        <f>IF('Ark1'!585:585,"AAAAACjUtG0=",0)</f>
        <v>0</v>
      </c>
      <c r="DG21" t="e">
        <f>AND('Ark1'!A585,"AAAAACjUtG4=")</f>
        <v>#VALUE!</v>
      </c>
      <c r="DH21" t="e">
        <f>AND('Ark1'!B585,"AAAAACjUtG8=")</f>
        <v>#VALUE!</v>
      </c>
      <c r="DI21" t="e">
        <f>AND('Ark1'!C585,"AAAAACjUtHA=")</f>
        <v>#VALUE!</v>
      </c>
      <c r="DJ21" t="e">
        <f>AND('Ark1'!D585,"AAAAACjUtHE=")</f>
        <v>#VALUE!</v>
      </c>
      <c r="DK21" t="e">
        <f>AND('Ark1'!E585,"AAAAACjUtHI=")</f>
        <v>#VALUE!</v>
      </c>
      <c r="DL21" t="e">
        <f>AND('Ark1'!F585,"AAAAACjUtHM=")</f>
        <v>#VALUE!</v>
      </c>
      <c r="DM21" t="e">
        <f>AND('Ark1'!G585,"AAAAACjUtHQ=")</f>
        <v>#VALUE!</v>
      </c>
      <c r="DN21" t="e">
        <f>AND('Ark1'!H585,"AAAAACjUtHU=")</f>
        <v>#VALUE!</v>
      </c>
      <c r="DO21">
        <f>IF('Ark1'!586:586,"AAAAACjUtHY=",0)</f>
        <v>0</v>
      </c>
      <c r="DP21" t="e">
        <f>AND('Ark1'!A586,"AAAAACjUtHc=")</f>
        <v>#VALUE!</v>
      </c>
      <c r="DQ21" t="e">
        <f>AND('Ark1'!B586,"AAAAACjUtHg=")</f>
        <v>#VALUE!</v>
      </c>
      <c r="DR21" t="e">
        <f>AND('Ark1'!C586,"AAAAACjUtHk=")</f>
        <v>#VALUE!</v>
      </c>
      <c r="DS21" t="e">
        <f>AND('Ark1'!D586,"AAAAACjUtHo=")</f>
        <v>#VALUE!</v>
      </c>
      <c r="DT21" t="e">
        <f>AND('Ark1'!E586,"AAAAACjUtHs=")</f>
        <v>#VALUE!</v>
      </c>
      <c r="DU21" t="e">
        <f>AND('Ark1'!F586,"AAAAACjUtHw=")</f>
        <v>#VALUE!</v>
      </c>
      <c r="DV21" t="e">
        <f>AND('Ark1'!G586,"AAAAACjUtH0=")</f>
        <v>#VALUE!</v>
      </c>
      <c r="DW21" t="e">
        <f>AND('Ark1'!H586,"AAAAACjUtH4=")</f>
        <v>#VALUE!</v>
      </c>
      <c r="DX21">
        <f>IF('Ark1'!587:587,"AAAAACjUtH8=",0)</f>
        <v>0</v>
      </c>
      <c r="DY21" t="e">
        <f>AND('Ark1'!A587,"AAAAACjUtIA=")</f>
        <v>#VALUE!</v>
      </c>
      <c r="DZ21" t="e">
        <f>AND('Ark1'!B587,"AAAAACjUtIE=")</f>
        <v>#VALUE!</v>
      </c>
      <c r="EA21" t="e">
        <f>AND('Ark1'!C587,"AAAAACjUtII=")</f>
        <v>#VALUE!</v>
      </c>
      <c r="EB21" t="e">
        <f>AND('Ark1'!D587,"AAAAACjUtIM=")</f>
        <v>#VALUE!</v>
      </c>
      <c r="EC21" t="e">
        <f>AND('Ark1'!E587,"AAAAACjUtIQ=")</f>
        <v>#VALUE!</v>
      </c>
      <c r="ED21" t="e">
        <f>AND('Ark1'!F587,"AAAAACjUtIU=")</f>
        <v>#VALUE!</v>
      </c>
      <c r="EE21" t="e">
        <f>AND('Ark1'!G587,"AAAAACjUtIY=")</f>
        <v>#VALUE!</v>
      </c>
      <c r="EF21" t="e">
        <f>AND('Ark1'!H587,"AAAAACjUtIc=")</f>
        <v>#VALUE!</v>
      </c>
      <c r="EG21">
        <f>IF('Ark1'!588:588,"AAAAACjUtIg=",0)</f>
        <v>0</v>
      </c>
      <c r="EH21" t="e">
        <f>AND('Ark1'!A588,"AAAAACjUtIk=")</f>
        <v>#VALUE!</v>
      </c>
      <c r="EI21" t="e">
        <f>AND('Ark1'!B588,"AAAAACjUtIo=")</f>
        <v>#VALUE!</v>
      </c>
      <c r="EJ21" t="e">
        <f>AND('Ark1'!C588,"AAAAACjUtIs=")</f>
        <v>#VALUE!</v>
      </c>
      <c r="EK21" t="e">
        <f>AND('Ark1'!D588,"AAAAACjUtIw=")</f>
        <v>#VALUE!</v>
      </c>
      <c r="EL21" t="e">
        <f>AND('Ark1'!E588,"AAAAACjUtI0=")</f>
        <v>#VALUE!</v>
      </c>
      <c r="EM21" t="e">
        <f>AND('Ark1'!F588,"AAAAACjUtI4=")</f>
        <v>#VALUE!</v>
      </c>
      <c r="EN21" t="e">
        <f>AND('Ark1'!G588,"AAAAACjUtI8=")</f>
        <v>#VALUE!</v>
      </c>
      <c r="EO21" t="e">
        <f>AND('Ark1'!H588,"AAAAACjUtJA=")</f>
        <v>#VALUE!</v>
      </c>
      <c r="EP21">
        <f>IF('Ark1'!589:589,"AAAAACjUtJE=",0)</f>
        <v>0</v>
      </c>
      <c r="EQ21" t="e">
        <f>AND('Ark1'!A589,"AAAAACjUtJI=")</f>
        <v>#VALUE!</v>
      </c>
      <c r="ER21" t="e">
        <f>AND('Ark1'!B589,"AAAAACjUtJM=")</f>
        <v>#VALUE!</v>
      </c>
      <c r="ES21" t="e">
        <f>AND('Ark1'!C589,"AAAAACjUtJQ=")</f>
        <v>#VALUE!</v>
      </c>
      <c r="ET21" t="e">
        <f>AND('Ark1'!D589,"AAAAACjUtJU=")</f>
        <v>#VALUE!</v>
      </c>
      <c r="EU21" t="e">
        <f>AND('Ark1'!E589,"AAAAACjUtJY=")</f>
        <v>#VALUE!</v>
      </c>
      <c r="EV21" t="e">
        <f>AND('Ark1'!F589,"AAAAACjUtJc=")</f>
        <v>#VALUE!</v>
      </c>
      <c r="EW21" t="e">
        <f>AND('Ark1'!G589,"AAAAACjUtJg=")</f>
        <v>#VALUE!</v>
      </c>
      <c r="EX21" t="e">
        <f>AND('Ark1'!H589,"AAAAACjUtJk=")</f>
        <v>#VALUE!</v>
      </c>
      <c r="EY21">
        <f>IF('Ark1'!590:590,"AAAAACjUtJo=",0)</f>
        <v>0</v>
      </c>
      <c r="EZ21" t="e">
        <f>AND('Ark1'!A590,"AAAAACjUtJs=")</f>
        <v>#VALUE!</v>
      </c>
      <c r="FA21" t="e">
        <f>AND('Ark1'!B590,"AAAAACjUtJw=")</f>
        <v>#VALUE!</v>
      </c>
      <c r="FB21" t="e">
        <f>AND('Ark1'!C590,"AAAAACjUtJ0=")</f>
        <v>#VALUE!</v>
      </c>
      <c r="FC21" t="e">
        <f>AND('Ark1'!D590,"AAAAACjUtJ4=")</f>
        <v>#VALUE!</v>
      </c>
      <c r="FD21" t="e">
        <f>AND('Ark1'!E590,"AAAAACjUtJ8=")</f>
        <v>#VALUE!</v>
      </c>
      <c r="FE21" t="e">
        <f>AND('Ark1'!F590,"AAAAACjUtKA=")</f>
        <v>#VALUE!</v>
      </c>
      <c r="FF21" t="e">
        <f>AND('Ark1'!G590,"AAAAACjUtKE=")</f>
        <v>#VALUE!</v>
      </c>
      <c r="FG21" t="e">
        <f>AND('Ark1'!H590,"AAAAACjUtKI=")</f>
        <v>#VALUE!</v>
      </c>
      <c r="FH21">
        <f>IF('Ark1'!591:591,"AAAAACjUtKM=",0)</f>
        <v>0</v>
      </c>
      <c r="FI21" t="e">
        <f>AND('Ark1'!A591,"AAAAACjUtKQ=")</f>
        <v>#VALUE!</v>
      </c>
      <c r="FJ21" t="e">
        <f>AND('Ark1'!B591,"AAAAACjUtKU=")</f>
        <v>#VALUE!</v>
      </c>
      <c r="FK21" t="e">
        <f>AND('Ark1'!C591,"AAAAACjUtKY=")</f>
        <v>#VALUE!</v>
      </c>
      <c r="FL21" t="e">
        <f>AND('Ark1'!D591,"AAAAACjUtKc=")</f>
        <v>#VALUE!</v>
      </c>
      <c r="FM21" t="e">
        <f>AND('Ark1'!E591,"AAAAACjUtKg=")</f>
        <v>#VALUE!</v>
      </c>
      <c r="FN21" t="e">
        <f>AND('Ark1'!F591,"AAAAACjUtKk=")</f>
        <v>#VALUE!</v>
      </c>
      <c r="FO21" t="e">
        <f>AND('Ark1'!G591,"AAAAACjUtKo=")</f>
        <v>#VALUE!</v>
      </c>
      <c r="FP21" t="e">
        <f>AND('Ark1'!H591,"AAAAACjUtKs=")</f>
        <v>#VALUE!</v>
      </c>
      <c r="FQ21">
        <f>IF('Ark1'!592:592,"AAAAACjUtKw=",0)</f>
        <v>0</v>
      </c>
      <c r="FR21" t="e">
        <f>AND('Ark1'!A592,"AAAAACjUtK0=")</f>
        <v>#VALUE!</v>
      </c>
      <c r="FS21" t="e">
        <f>AND('Ark1'!B592,"AAAAACjUtK4=")</f>
        <v>#VALUE!</v>
      </c>
      <c r="FT21" t="e">
        <f>AND('Ark1'!C592,"AAAAACjUtK8=")</f>
        <v>#VALUE!</v>
      </c>
      <c r="FU21" t="e">
        <f>AND('Ark1'!D592,"AAAAACjUtLA=")</f>
        <v>#VALUE!</v>
      </c>
      <c r="FV21" t="e">
        <f>AND('Ark1'!E592,"AAAAACjUtLE=")</f>
        <v>#VALUE!</v>
      </c>
      <c r="FW21" t="e">
        <f>AND('Ark1'!F592,"AAAAACjUtLI=")</f>
        <v>#VALUE!</v>
      </c>
      <c r="FX21" t="e">
        <f>AND('Ark1'!G592,"AAAAACjUtLM=")</f>
        <v>#VALUE!</v>
      </c>
      <c r="FY21" t="e">
        <f>AND('Ark1'!H592,"AAAAACjUtLQ=")</f>
        <v>#VALUE!</v>
      </c>
      <c r="FZ21">
        <f>IF('Ark1'!593:593,"AAAAACjUtLU=",0)</f>
        <v>0</v>
      </c>
      <c r="GA21" t="e">
        <f>AND('Ark1'!A593,"AAAAACjUtLY=")</f>
        <v>#VALUE!</v>
      </c>
      <c r="GB21" t="e">
        <f>AND('Ark1'!B593,"AAAAACjUtLc=")</f>
        <v>#VALUE!</v>
      </c>
      <c r="GC21" t="e">
        <f>AND('Ark1'!C593,"AAAAACjUtLg=")</f>
        <v>#VALUE!</v>
      </c>
      <c r="GD21" t="e">
        <f>AND('Ark1'!D593,"AAAAACjUtLk=")</f>
        <v>#VALUE!</v>
      </c>
      <c r="GE21" t="e">
        <f>AND('Ark1'!E593,"AAAAACjUtLo=")</f>
        <v>#VALUE!</v>
      </c>
      <c r="GF21" t="e">
        <f>AND('Ark1'!F593,"AAAAACjUtLs=")</f>
        <v>#VALUE!</v>
      </c>
      <c r="GG21" t="e">
        <f>AND('Ark1'!G593,"AAAAACjUtLw=")</f>
        <v>#VALUE!</v>
      </c>
      <c r="GH21" t="e">
        <f>AND('Ark1'!H593,"AAAAACjUtL0=")</f>
        <v>#VALUE!</v>
      </c>
      <c r="GI21">
        <f>IF('Ark1'!594:594,"AAAAACjUtL4=",0)</f>
        <v>0</v>
      </c>
      <c r="GJ21" t="e">
        <f>AND('Ark1'!A594,"AAAAACjUtL8=")</f>
        <v>#VALUE!</v>
      </c>
      <c r="GK21" t="e">
        <f>AND('Ark1'!B594,"AAAAACjUtMA=")</f>
        <v>#VALUE!</v>
      </c>
      <c r="GL21" t="e">
        <f>AND('Ark1'!C594,"AAAAACjUtME=")</f>
        <v>#VALUE!</v>
      </c>
      <c r="GM21" t="e">
        <f>AND('Ark1'!D594,"AAAAACjUtMI=")</f>
        <v>#VALUE!</v>
      </c>
      <c r="GN21" t="e">
        <f>AND('Ark1'!E594,"AAAAACjUtMM=")</f>
        <v>#VALUE!</v>
      </c>
      <c r="GO21" t="e">
        <f>AND('Ark1'!F594,"AAAAACjUtMQ=")</f>
        <v>#VALUE!</v>
      </c>
      <c r="GP21" t="e">
        <f>AND('Ark1'!G594,"AAAAACjUtMU=")</f>
        <v>#VALUE!</v>
      </c>
      <c r="GQ21" t="e">
        <f>AND('Ark1'!H594,"AAAAACjUtMY=")</f>
        <v>#VALUE!</v>
      </c>
      <c r="GR21">
        <f>IF('Ark1'!595:595,"AAAAACjUtMc=",0)</f>
        <v>0</v>
      </c>
      <c r="GS21" t="e">
        <f>AND('Ark1'!A595,"AAAAACjUtMg=")</f>
        <v>#VALUE!</v>
      </c>
      <c r="GT21" t="e">
        <f>AND('Ark1'!B595,"AAAAACjUtMk=")</f>
        <v>#VALUE!</v>
      </c>
      <c r="GU21" t="e">
        <f>AND('Ark1'!C595,"AAAAACjUtMo=")</f>
        <v>#VALUE!</v>
      </c>
      <c r="GV21" t="e">
        <f>AND('Ark1'!D595,"AAAAACjUtMs=")</f>
        <v>#VALUE!</v>
      </c>
      <c r="GW21" t="e">
        <f>AND('Ark1'!E595,"AAAAACjUtMw=")</f>
        <v>#VALUE!</v>
      </c>
      <c r="GX21" t="e">
        <f>AND('Ark1'!F595,"AAAAACjUtM0=")</f>
        <v>#VALUE!</v>
      </c>
      <c r="GY21" t="e">
        <f>AND('Ark1'!G595,"AAAAACjUtM4=")</f>
        <v>#VALUE!</v>
      </c>
      <c r="GZ21" t="e">
        <f>AND('Ark1'!H595,"AAAAACjUtM8=")</f>
        <v>#VALUE!</v>
      </c>
      <c r="HA21">
        <f>IF('Ark1'!596:596,"AAAAACjUtNA=",0)</f>
        <v>0</v>
      </c>
      <c r="HB21" t="e">
        <f>AND('Ark1'!A596,"AAAAACjUtNE=")</f>
        <v>#VALUE!</v>
      </c>
      <c r="HC21" t="e">
        <f>AND('Ark1'!B596,"AAAAACjUtNI=")</f>
        <v>#VALUE!</v>
      </c>
      <c r="HD21" t="e">
        <f>AND('Ark1'!C596,"AAAAACjUtNM=")</f>
        <v>#VALUE!</v>
      </c>
      <c r="HE21" t="e">
        <f>AND('Ark1'!D596,"AAAAACjUtNQ=")</f>
        <v>#VALUE!</v>
      </c>
      <c r="HF21" t="e">
        <f>AND('Ark1'!E596,"AAAAACjUtNU=")</f>
        <v>#VALUE!</v>
      </c>
      <c r="HG21" t="e">
        <f>AND('Ark1'!F596,"AAAAACjUtNY=")</f>
        <v>#VALUE!</v>
      </c>
      <c r="HH21" t="e">
        <f>AND('Ark1'!G596,"AAAAACjUtNc=")</f>
        <v>#VALUE!</v>
      </c>
      <c r="HI21" t="e">
        <f>AND('Ark1'!H596,"AAAAACjUtNg=")</f>
        <v>#VALUE!</v>
      </c>
      <c r="HJ21">
        <f>IF('Ark1'!597:597,"AAAAACjUtNk=",0)</f>
        <v>0</v>
      </c>
      <c r="HK21" t="e">
        <f>AND('Ark1'!A597,"AAAAACjUtNo=")</f>
        <v>#VALUE!</v>
      </c>
      <c r="HL21" t="e">
        <f>AND('Ark1'!B597,"AAAAACjUtNs=")</f>
        <v>#VALUE!</v>
      </c>
      <c r="HM21" t="e">
        <f>AND('Ark1'!C597,"AAAAACjUtNw=")</f>
        <v>#VALUE!</v>
      </c>
      <c r="HN21" t="e">
        <f>AND('Ark1'!D597,"AAAAACjUtN0=")</f>
        <v>#VALUE!</v>
      </c>
      <c r="HO21" t="e">
        <f>AND('Ark1'!E597,"AAAAACjUtN4=")</f>
        <v>#VALUE!</v>
      </c>
      <c r="HP21" t="e">
        <f>AND('Ark1'!F597,"AAAAACjUtN8=")</f>
        <v>#VALUE!</v>
      </c>
      <c r="HQ21" t="e">
        <f>AND('Ark1'!G597,"AAAAACjUtOA=")</f>
        <v>#VALUE!</v>
      </c>
      <c r="HR21" t="e">
        <f>AND('Ark1'!H597,"AAAAACjUtOE=")</f>
        <v>#VALUE!</v>
      </c>
      <c r="HS21">
        <f>IF('Ark1'!598:598,"AAAAACjUtOI=",0)</f>
        <v>0</v>
      </c>
      <c r="HT21" t="e">
        <f>AND('Ark1'!A598,"AAAAACjUtOM=")</f>
        <v>#VALUE!</v>
      </c>
      <c r="HU21" t="e">
        <f>AND('Ark1'!B598,"AAAAACjUtOQ=")</f>
        <v>#VALUE!</v>
      </c>
      <c r="HV21" t="e">
        <f>AND('Ark1'!C598,"AAAAACjUtOU=")</f>
        <v>#VALUE!</v>
      </c>
      <c r="HW21" t="e">
        <f>AND('Ark1'!D598,"AAAAACjUtOY=")</f>
        <v>#VALUE!</v>
      </c>
      <c r="HX21" t="e">
        <f>AND('Ark1'!E598,"AAAAACjUtOc=")</f>
        <v>#VALUE!</v>
      </c>
      <c r="HY21" t="e">
        <f>AND('Ark1'!F598,"AAAAACjUtOg=")</f>
        <v>#VALUE!</v>
      </c>
      <c r="HZ21" t="e">
        <f>AND('Ark1'!G598,"AAAAACjUtOk=")</f>
        <v>#VALUE!</v>
      </c>
      <c r="IA21" t="e">
        <f>AND('Ark1'!H598,"AAAAACjUtOo=")</f>
        <v>#VALUE!</v>
      </c>
      <c r="IB21">
        <f>IF('Ark1'!599:599,"AAAAACjUtOs=",0)</f>
        <v>0</v>
      </c>
      <c r="IC21" t="e">
        <f>AND('Ark1'!A599,"AAAAACjUtOw=")</f>
        <v>#VALUE!</v>
      </c>
      <c r="ID21" t="e">
        <f>AND('Ark1'!B599,"AAAAACjUtO0=")</f>
        <v>#VALUE!</v>
      </c>
      <c r="IE21" t="e">
        <f>AND('Ark1'!C599,"AAAAACjUtO4=")</f>
        <v>#VALUE!</v>
      </c>
      <c r="IF21" t="e">
        <f>AND('Ark1'!D599,"AAAAACjUtO8=")</f>
        <v>#VALUE!</v>
      </c>
      <c r="IG21" t="e">
        <f>AND('Ark1'!E599,"AAAAACjUtPA=")</f>
        <v>#VALUE!</v>
      </c>
      <c r="IH21" t="e">
        <f>AND('Ark1'!F599,"AAAAACjUtPE=")</f>
        <v>#VALUE!</v>
      </c>
      <c r="II21" t="e">
        <f>AND('Ark1'!G599,"AAAAACjUtPI=")</f>
        <v>#VALUE!</v>
      </c>
      <c r="IJ21" t="e">
        <f>AND('Ark1'!H599,"AAAAACjUtPM=")</f>
        <v>#VALUE!</v>
      </c>
      <c r="IK21">
        <f>IF('Ark1'!600:600,"AAAAACjUtPQ=",0)</f>
        <v>0</v>
      </c>
      <c r="IL21" t="e">
        <f>AND('Ark1'!A600,"AAAAACjUtPU=")</f>
        <v>#VALUE!</v>
      </c>
      <c r="IM21" t="e">
        <f>AND('Ark1'!B600,"AAAAACjUtPY=")</f>
        <v>#VALUE!</v>
      </c>
      <c r="IN21" t="e">
        <f>AND('Ark1'!C600,"AAAAACjUtPc=")</f>
        <v>#VALUE!</v>
      </c>
      <c r="IO21" t="e">
        <f>AND('Ark1'!D600,"AAAAACjUtPg=")</f>
        <v>#VALUE!</v>
      </c>
      <c r="IP21" t="e">
        <f>AND('Ark1'!E600,"AAAAACjUtPk=")</f>
        <v>#VALUE!</v>
      </c>
      <c r="IQ21" t="e">
        <f>AND('Ark1'!F600,"AAAAACjUtPo=")</f>
        <v>#VALUE!</v>
      </c>
      <c r="IR21" t="e">
        <f>AND('Ark1'!G600,"AAAAACjUtPs=")</f>
        <v>#VALUE!</v>
      </c>
      <c r="IS21" t="e">
        <f>AND('Ark1'!H600,"AAAAACjUtPw=")</f>
        <v>#VALUE!</v>
      </c>
      <c r="IT21">
        <f>IF('Ark1'!601:601,"AAAAACjUtP0=",0)</f>
        <v>0</v>
      </c>
      <c r="IU21" t="e">
        <f>AND('Ark1'!A601,"AAAAACjUtP4=")</f>
        <v>#VALUE!</v>
      </c>
      <c r="IV21" t="e">
        <f>AND('Ark1'!B601,"AAAAACjUtP8=")</f>
        <v>#VALUE!</v>
      </c>
    </row>
    <row r="22" spans="1:256" x14ac:dyDescent="0.25">
      <c r="A22" t="e">
        <f>AND('Ark1'!C601,"AAAAAF79fwA=")</f>
        <v>#VALUE!</v>
      </c>
      <c r="B22" t="e">
        <f>AND('Ark1'!D601,"AAAAAF79fwE=")</f>
        <v>#VALUE!</v>
      </c>
      <c r="C22" t="e">
        <f>AND('Ark1'!E601,"AAAAAF79fwI=")</f>
        <v>#VALUE!</v>
      </c>
      <c r="D22" t="e">
        <f>AND('Ark1'!F601,"AAAAAF79fwM=")</f>
        <v>#VALUE!</v>
      </c>
      <c r="E22" t="e">
        <f>AND('Ark1'!G601,"AAAAAF79fwQ=")</f>
        <v>#VALUE!</v>
      </c>
      <c r="F22" t="e">
        <f>AND('Ark1'!H601,"AAAAAF79fwU=")</f>
        <v>#VALUE!</v>
      </c>
      <c r="G22">
        <f>IF('Ark1'!602:602,"AAAAAF79fwY=",0)</f>
        <v>0</v>
      </c>
      <c r="H22" t="e">
        <f>AND('Ark1'!A602,"AAAAAF79fwc=")</f>
        <v>#VALUE!</v>
      </c>
      <c r="I22" t="e">
        <f>AND('Ark1'!B602,"AAAAAF79fwg=")</f>
        <v>#VALUE!</v>
      </c>
      <c r="J22" t="e">
        <f>AND('Ark1'!C602,"AAAAAF79fwk=")</f>
        <v>#VALUE!</v>
      </c>
      <c r="K22" t="e">
        <f>AND('Ark1'!D602,"AAAAAF79fwo=")</f>
        <v>#VALUE!</v>
      </c>
      <c r="L22" t="e">
        <f>AND('Ark1'!E602,"AAAAAF79fws=")</f>
        <v>#VALUE!</v>
      </c>
      <c r="M22" t="e">
        <f>AND('Ark1'!F602,"AAAAAF79fww=")</f>
        <v>#VALUE!</v>
      </c>
      <c r="N22" t="e">
        <f>AND('Ark1'!G602,"AAAAAF79fw0=")</f>
        <v>#VALUE!</v>
      </c>
      <c r="O22" t="e">
        <f>AND('Ark1'!H602,"AAAAAF79fw4=")</f>
        <v>#VALUE!</v>
      </c>
      <c r="P22">
        <f>IF('Ark1'!603:603,"AAAAAF79fw8=",0)</f>
        <v>0</v>
      </c>
      <c r="Q22" t="e">
        <f>AND('Ark1'!A603,"AAAAAF79fxA=")</f>
        <v>#VALUE!</v>
      </c>
      <c r="R22" t="e">
        <f>AND('Ark1'!B603,"AAAAAF79fxE=")</f>
        <v>#VALUE!</v>
      </c>
      <c r="S22" t="e">
        <f>AND('Ark1'!C603,"AAAAAF79fxI=")</f>
        <v>#VALUE!</v>
      </c>
      <c r="T22" t="e">
        <f>AND('Ark1'!D603,"AAAAAF79fxM=")</f>
        <v>#VALUE!</v>
      </c>
      <c r="U22" t="e">
        <f>AND('Ark1'!E603,"AAAAAF79fxQ=")</f>
        <v>#VALUE!</v>
      </c>
      <c r="V22" t="e">
        <f>AND('Ark1'!F603,"AAAAAF79fxU=")</f>
        <v>#VALUE!</v>
      </c>
      <c r="W22" t="e">
        <f>AND('Ark1'!G603,"AAAAAF79fxY=")</f>
        <v>#VALUE!</v>
      </c>
      <c r="X22" t="e">
        <f>AND('Ark1'!H603,"AAAAAF79fxc=")</f>
        <v>#VALUE!</v>
      </c>
      <c r="Y22">
        <f>IF('Ark1'!604:604,"AAAAAF79fxg=",0)</f>
        <v>0</v>
      </c>
      <c r="Z22" t="e">
        <f>AND('Ark1'!A604,"AAAAAF79fxk=")</f>
        <v>#VALUE!</v>
      </c>
      <c r="AA22" t="e">
        <f>AND('Ark1'!B604,"AAAAAF79fxo=")</f>
        <v>#VALUE!</v>
      </c>
      <c r="AB22" t="e">
        <f>AND('Ark1'!C604,"AAAAAF79fxs=")</f>
        <v>#VALUE!</v>
      </c>
      <c r="AC22" t="e">
        <f>AND('Ark1'!D604,"AAAAAF79fxw=")</f>
        <v>#VALUE!</v>
      </c>
      <c r="AD22" t="e">
        <f>AND('Ark1'!E604,"AAAAAF79fx0=")</f>
        <v>#VALUE!</v>
      </c>
      <c r="AE22" t="e">
        <f>AND('Ark1'!F604,"AAAAAF79fx4=")</f>
        <v>#VALUE!</v>
      </c>
      <c r="AF22" t="e">
        <f>AND('Ark1'!G604,"AAAAAF79fx8=")</f>
        <v>#VALUE!</v>
      </c>
      <c r="AG22" t="e">
        <f>AND('Ark1'!H604,"AAAAAF79fyA=")</f>
        <v>#VALUE!</v>
      </c>
      <c r="AH22">
        <f>IF('Ark1'!605:605,"AAAAAF79fyE=",0)</f>
        <v>0</v>
      </c>
      <c r="AI22" t="e">
        <f>AND('Ark1'!A605,"AAAAAF79fyI=")</f>
        <v>#VALUE!</v>
      </c>
      <c r="AJ22" t="e">
        <f>AND('Ark1'!B605,"AAAAAF79fyM=")</f>
        <v>#VALUE!</v>
      </c>
      <c r="AK22" t="e">
        <f>AND('Ark1'!C605,"AAAAAF79fyQ=")</f>
        <v>#VALUE!</v>
      </c>
      <c r="AL22" t="e">
        <f>AND('Ark1'!D605,"AAAAAF79fyU=")</f>
        <v>#VALUE!</v>
      </c>
      <c r="AM22" t="e">
        <f>AND('Ark1'!E605,"AAAAAF79fyY=")</f>
        <v>#VALUE!</v>
      </c>
      <c r="AN22" t="e">
        <f>AND('Ark1'!F605,"AAAAAF79fyc=")</f>
        <v>#VALUE!</v>
      </c>
      <c r="AO22" t="e">
        <f>AND('Ark1'!G605,"AAAAAF79fyg=")</f>
        <v>#VALUE!</v>
      </c>
      <c r="AP22" t="e">
        <f>AND('Ark1'!H605,"AAAAAF79fyk=")</f>
        <v>#VALUE!</v>
      </c>
      <c r="AQ22">
        <f>IF('Ark1'!606:606,"AAAAAF79fyo=",0)</f>
        <v>0</v>
      </c>
      <c r="AR22" t="e">
        <f>AND('Ark1'!A606,"AAAAAF79fys=")</f>
        <v>#VALUE!</v>
      </c>
      <c r="AS22" t="e">
        <f>AND('Ark1'!B606,"AAAAAF79fyw=")</f>
        <v>#VALUE!</v>
      </c>
      <c r="AT22" t="e">
        <f>AND('Ark1'!C606,"AAAAAF79fy0=")</f>
        <v>#VALUE!</v>
      </c>
      <c r="AU22" t="e">
        <f>AND('Ark1'!D606,"AAAAAF79fy4=")</f>
        <v>#VALUE!</v>
      </c>
      <c r="AV22" t="e">
        <f>AND('Ark1'!E606,"AAAAAF79fy8=")</f>
        <v>#VALUE!</v>
      </c>
      <c r="AW22" t="e">
        <f>AND('Ark1'!F606,"AAAAAF79fzA=")</f>
        <v>#VALUE!</v>
      </c>
      <c r="AX22" t="e">
        <f>AND('Ark1'!G606,"AAAAAF79fzE=")</f>
        <v>#VALUE!</v>
      </c>
      <c r="AY22" t="e">
        <f>AND('Ark1'!H606,"AAAAAF79fzI=")</f>
        <v>#VALUE!</v>
      </c>
      <c r="AZ22">
        <f>IF('Ark1'!607:607,"AAAAAF79fzM=",0)</f>
        <v>0</v>
      </c>
      <c r="BA22" t="e">
        <f>AND('Ark1'!A607,"AAAAAF79fzQ=")</f>
        <v>#VALUE!</v>
      </c>
      <c r="BB22" t="e">
        <f>AND('Ark1'!B607,"AAAAAF79fzU=")</f>
        <v>#VALUE!</v>
      </c>
      <c r="BC22" t="e">
        <f>AND('Ark1'!C607,"AAAAAF79fzY=")</f>
        <v>#VALUE!</v>
      </c>
      <c r="BD22" t="e">
        <f>AND('Ark1'!D607,"AAAAAF79fzc=")</f>
        <v>#VALUE!</v>
      </c>
      <c r="BE22" t="e">
        <f>AND('Ark1'!E607,"AAAAAF79fzg=")</f>
        <v>#VALUE!</v>
      </c>
      <c r="BF22" t="e">
        <f>AND('Ark1'!F607,"AAAAAF79fzk=")</f>
        <v>#VALUE!</v>
      </c>
      <c r="BG22" t="e">
        <f>AND('Ark1'!G607,"AAAAAF79fzo=")</f>
        <v>#VALUE!</v>
      </c>
      <c r="BH22" t="e">
        <f>AND('Ark1'!H607,"AAAAAF79fzs=")</f>
        <v>#VALUE!</v>
      </c>
      <c r="BI22">
        <f>IF('Ark1'!608:608,"AAAAAF79fzw=",0)</f>
        <v>0</v>
      </c>
      <c r="BJ22" t="e">
        <f>AND('Ark1'!A608,"AAAAAF79fz0=")</f>
        <v>#VALUE!</v>
      </c>
      <c r="BK22" t="e">
        <f>AND('Ark1'!B608,"AAAAAF79fz4=")</f>
        <v>#VALUE!</v>
      </c>
      <c r="BL22" t="e">
        <f>AND('Ark1'!C608,"AAAAAF79fz8=")</f>
        <v>#VALUE!</v>
      </c>
      <c r="BM22" t="e">
        <f>AND('Ark1'!D608,"AAAAAF79f0A=")</f>
        <v>#VALUE!</v>
      </c>
      <c r="BN22" t="e">
        <f>AND('Ark1'!E608,"AAAAAF79f0E=")</f>
        <v>#VALUE!</v>
      </c>
      <c r="BO22" t="e">
        <f>AND('Ark1'!F608,"AAAAAF79f0I=")</f>
        <v>#VALUE!</v>
      </c>
      <c r="BP22" t="e">
        <f>AND('Ark1'!G608,"AAAAAF79f0M=")</f>
        <v>#VALUE!</v>
      </c>
      <c r="BQ22" t="e">
        <f>AND('Ark1'!H608,"AAAAAF79f0Q=")</f>
        <v>#VALUE!</v>
      </c>
      <c r="BR22">
        <f>IF('Ark1'!609:609,"AAAAAF79f0U=",0)</f>
        <v>0</v>
      </c>
      <c r="BS22" t="e">
        <f>AND('Ark1'!A609,"AAAAAF79f0Y=")</f>
        <v>#VALUE!</v>
      </c>
      <c r="BT22" t="e">
        <f>AND('Ark1'!B609,"AAAAAF79f0c=")</f>
        <v>#VALUE!</v>
      </c>
      <c r="BU22" t="e">
        <f>AND('Ark1'!C609,"AAAAAF79f0g=")</f>
        <v>#VALUE!</v>
      </c>
      <c r="BV22" t="e">
        <f>AND('Ark1'!D609,"AAAAAF79f0k=")</f>
        <v>#VALUE!</v>
      </c>
      <c r="BW22" t="e">
        <f>AND('Ark1'!E609,"AAAAAF79f0o=")</f>
        <v>#VALUE!</v>
      </c>
      <c r="BX22" t="e">
        <f>AND('Ark1'!F609,"AAAAAF79f0s=")</f>
        <v>#VALUE!</v>
      </c>
      <c r="BY22" t="e">
        <f>AND('Ark1'!G609,"AAAAAF79f0w=")</f>
        <v>#VALUE!</v>
      </c>
      <c r="BZ22" t="e">
        <f>AND('Ark1'!H609,"AAAAAF79f00=")</f>
        <v>#VALUE!</v>
      </c>
      <c r="CA22">
        <f>IF('Ark1'!610:610,"AAAAAF79f04=",0)</f>
        <v>0</v>
      </c>
      <c r="CB22" t="e">
        <f>AND('Ark1'!A610,"AAAAAF79f08=")</f>
        <v>#VALUE!</v>
      </c>
      <c r="CC22" t="e">
        <f>AND('Ark1'!B610,"AAAAAF79f1A=")</f>
        <v>#VALUE!</v>
      </c>
      <c r="CD22" t="e">
        <f>AND('Ark1'!C610,"AAAAAF79f1E=")</f>
        <v>#VALUE!</v>
      </c>
      <c r="CE22" t="e">
        <f>AND('Ark1'!D610,"AAAAAF79f1I=")</f>
        <v>#VALUE!</v>
      </c>
      <c r="CF22" t="e">
        <f>AND('Ark1'!E610,"AAAAAF79f1M=")</f>
        <v>#VALUE!</v>
      </c>
      <c r="CG22" t="e">
        <f>AND('Ark1'!F610,"AAAAAF79f1Q=")</f>
        <v>#VALUE!</v>
      </c>
      <c r="CH22" t="e">
        <f>AND('Ark1'!G610,"AAAAAF79f1U=")</f>
        <v>#VALUE!</v>
      </c>
      <c r="CI22" t="e">
        <f>AND('Ark1'!H610,"AAAAAF79f1Y=")</f>
        <v>#VALUE!</v>
      </c>
      <c r="CJ22">
        <f>IF('Ark1'!611:611,"AAAAAF79f1c=",0)</f>
        <v>0</v>
      </c>
      <c r="CK22" t="e">
        <f>AND('Ark1'!A611,"AAAAAF79f1g=")</f>
        <v>#VALUE!</v>
      </c>
      <c r="CL22" t="e">
        <f>AND('Ark1'!B611,"AAAAAF79f1k=")</f>
        <v>#VALUE!</v>
      </c>
      <c r="CM22" t="e">
        <f>AND('Ark1'!C611,"AAAAAF79f1o=")</f>
        <v>#VALUE!</v>
      </c>
      <c r="CN22" t="e">
        <f>AND('Ark1'!D611,"AAAAAF79f1s=")</f>
        <v>#VALUE!</v>
      </c>
      <c r="CO22" t="e">
        <f>AND('Ark1'!E611,"AAAAAF79f1w=")</f>
        <v>#VALUE!</v>
      </c>
      <c r="CP22" t="e">
        <f>AND('Ark1'!F611,"AAAAAF79f10=")</f>
        <v>#VALUE!</v>
      </c>
      <c r="CQ22" t="e">
        <f>AND('Ark1'!G611,"AAAAAF79f14=")</f>
        <v>#VALUE!</v>
      </c>
      <c r="CR22" t="e">
        <f>AND('Ark1'!H611,"AAAAAF79f18=")</f>
        <v>#VALUE!</v>
      </c>
      <c r="CS22">
        <f>IF('Ark1'!612:612,"AAAAAF79f2A=",0)</f>
        <v>0</v>
      </c>
      <c r="CT22" t="e">
        <f>AND('Ark1'!A612,"AAAAAF79f2E=")</f>
        <v>#VALUE!</v>
      </c>
      <c r="CU22" t="e">
        <f>AND('Ark1'!B612,"AAAAAF79f2I=")</f>
        <v>#VALUE!</v>
      </c>
      <c r="CV22" t="e">
        <f>AND('Ark1'!C612,"AAAAAF79f2M=")</f>
        <v>#VALUE!</v>
      </c>
      <c r="CW22" t="e">
        <f>AND('Ark1'!D612,"AAAAAF79f2Q=")</f>
        <v>#VALUE!</v>
      </c>
      <c r="CX22" t="e">
        <f>AND('Ark1'!E612,"AAAAAF79f2U=")</f>
        <v>#VALUE!</v>
      </c>
      <c r="CY22" t="e">
        <f>AND('Ark1'!F612,"AAAAAF79f2Y=")</f>
        <v>#VALUE!</v>
      </c>
      <c r="CZ22" t="e">
        <f>AND('Ark1'!G612,"AAAAAF79f2c=")</f>
        <v>#VALUE!</v>
      </c>
      <c r="DA22" t="e">
        <f>AND('Ark1'!H612,"AAAAAF79f2g=")</f>
        <v>#VALUE!</v>
      </c>
      <c r="DB22">
        <f>IF('Ark1'!613:613,"AAAAAF79f2k=",0)</f>
        <v>0</v>
      </c>
      <c r="DC22" t="e">
        <f>AND('Ark1'!A613,"AAAAAF79f2o=")</f>
        <v>#VALUE!</v>
      </c>
      <c r="DD22" t="e">
        <f>AND('Ark1'!B613,"AAAAAF79f2s=")</f>
        <v>#VALUE!</v>
      </c>
      <c r="DE22" t="e">
        <f>AND('Ark1'!C613,"AAAAAF79f2w=")</f>
        <v>#VALUE!</v>
      </c>
      <c r="DF22" t="e">
        <f>AND('Ark1'!D613,"AAAAAF79f20=")</f>
        <v>#VALUE!</v>
      </c>
      <c r="DG22" t="e">
        <f>AND('Ark1'!E613,"AAAAAF79f24=")</f>
        <v>#VALUE!</v>
      </c>
      <c r="DH22" t="e">
        <f>AND('Ark1'!F613,"AAAAAF79f28=")</f>
        <v>#VALUE!</v>
      </c>
      <c r="DI22" t="e">
        <f>AND('Ark1'!G613,"AAAAAF79f3A=")</f>
        <v>#VALUE!</v>
      </c>
      <c r="DJ22" t="e">
        <f>AND('Ark1'!H613,"AAAAAF79f3E=")</f>
        <v>#VALUE!</v>
      </c>
      <c r="DK22">
        <f>IF('Ark1'!614:614,"AAAAAF79f3I=",0)</f>
        <v>0</v>
      </c>
      <c r="DL22" t="e">
        <f>AND('Ark1'!A614,"AAAAAF79f3M=")</f>
        <v>#VALUE!</v>
      </c>
      <c r="DM22" t="e">
        <f>AND('Ark1'!B614,"AAAAAF79f3Q=")</f>
        <v>#VALUE!</v>
      </c>
      <c r="DN22" t="e">
        <f>AND('Ark1'!C614,"AAAAAF79f3U=")</f>
        <v>#VALUE!</v>
      </c>
      <c r="DO22" t="e">
        <f>AND('Ark1'!D614,"AAAAAF79f3Y=")</f>
        <v>#VALUE!</v>
      </c>
      <c r="DP22" t="e">
        <f>AND('Ark1'!E614,"AAAAAF79f3c=")</f>
        <v>#VALUE!</v>
      </c>
      <c r="DQ22" t="e">
        <f>AND('Ark1'!F614,"AAAAAF79f3g=")</f>
        <v>#VALUE!</v>
      </c>
      <c r="DR22" t="e">
        <f>AND('Ark1'!G614,"AAAAAF79f3k=")</f>
        <v>#VALUE!</v>
      </c>
      <c r="DS22" t="e">
        <f>AND('Ark1'!H614,"AAAAAF79f3o=")</f>
        <v>#VALUE!</v>
      </c>
      <c r="DT22">
        <f>IF('Ark1'!615:615,"AAAAAF79f3s=",0)</f>
        <v>0</v>
      </c>
      <c r="DU22" t="e">
        <f>AND('Ark1'!A615,"AAAAAF79f3w=")</f>
        <v>#VALUE!</v>
      </c>
      <c r="DV22" t="e">
        <f>AND('Ark1'!B615,"AAAAAF79f30=")</f>
        <v>#VALUE!</v>
      </c>
      <c r="DW22" t="e">
        <f>AND('Ark1'!C615,"AAAAAF79f34=")</f>
        <v>#VALUE!</v>
      </c>
      <c r="DX22" t="e">
        <f>AND('Ark1'!D615,"AAAAAF79f38=")</f>
        <v>#VALUE!</v>
      </c>
      <c r="DY22" t="e">
        <f>AND('Ark1'!E615,"AAAAAF79f4A=")</f>
        <v>#VALUE!</v>
      </c>
      <c r="DZ22" t="e">
        <f>AND('Ark1'!F615,"AAAAAF79f4E=")</f>
        <v>#VALUE!</v>
      </c>
      <c r="EA22" t="e">
        <f>AND('Ark1'!G615,"AAAAAF79f4I=")</f>
        <v>#VALUE!</v>
      </c>
      <c r="EB22" t="e">
        <f>AND('Ark1'!H615,"AAAAAF79f4M=")</f>
        <v>#VALUE!</v>
      </c>
      <c r="EC22">
        <f>IF('Ark1'!616:616,"AAAAAF79f4Q=",0)</f>
        <v>0</v>
      </c>
      <c r="ED22" t="e">
        <f>AND('Ark1'!A616,"AAAAAF79f4U=")</f>
        <v>#VALUE!</v>
      </c>
      <c r="EE22" t="e">
        <f>AND('Ark1'!B616,"AAAAAF79f4Y=")</f>
        <v>#VALUE!</v>
      </c>
      <c r="EF22" t="e">
        <f>AND('Ark1'!C616,"AAAAAF79f4c=")</f>
        <v>#VALUE!</v>
      </c>
      <c r="EG22" t="e">
        <f>AND('Ark1'!D616,"AAAAAF79f4g=")</f>
        <v>#VALUE!</v>
      </c>
      <c r="EH22" t="e">
        <f>AND('Ark1'!E616,"AAAAAF79f4k=")</f>
        <v>#VALUE!</v>
      </c>
      <c r="EI22" t="e">
        <f>AND('Ark1'!F616,"AAAAAF79f4o=")</f>
        <v>#VALUE!</v>
      </c>
      <c r="EJ22" t="e">
        <f>AND('Ark1'!G616,"AAAAAF79f4s=")</f>
        <v>#VALUE!</v>
      </c>
      <c r="EK22" t="e">
        <f>AND('Ark1'!H616,"AAAAAF79f4w=")</f>
        <v>#VALUE!</v>
      </c>
      <c r="EL22">
        <f>IF('Ark1'!617:617,"AAAAAF79f40=",0)</f>
        <v>0</v>
      </c>
      <c r="EM22" t="e">
        <f>AND('Ark1'!A617,"AAAAAF79f44=")</f>
        <v>#VALUE!</v>
      </c>
      <c r="EN22" t="e">
        <f>AND('Ark1'!B617,"AAAAAF79f48=")</f>
        <v>#VALUE!</v>
      </c>
      <c r="EO22" t="e">
        <f>AND('Ark1'!C617,"AAAAAF79f5A=")</f>
        <v>#VALUE!</v>
      </c>
      <c r="EP22" t="e">
        <f>AND('Ark1'!D617,"AAAAAF79f5E=")</f>
        <v>#VALUE!</v>
      </c>
      <c r="EQ22" t="e">
        <f>AND('Ark1'!E617,"AAAAAF79f5I=")</f>
        <v>#VALUE!</v>
      </c>
      <c r="ER22" t="e">
        <f>AND('Ark1'!F617,"AAAAAF79f5M=")</f>
        <v>#VALUE!</v>
      </c>
      <c r="ES22" t="e">
        <f>AND('Ark1'!G617,"AAAAAF79f5Q=")</f>
        <v>#VALUE!</v>
      </c>
      <c r="ET22" t="e">
        <f>AND('Ark1'!H617,"AAAAAF79f5U=")</f>
        <v>#VALUE!</v>
      </c>
      <c r="EU22">
        <f>IF('Ark1'!618:618,"AAAAAF79f5Y=",0)</f>
        <v>0</v>
      </c>
      <c r="EV22" t="e">
        <f>AND('Ark1'!A618,"AAAAAF79f5c=")</f>
        <v>#VALUE!</v>
      </c>
      <c r="EW22" t="e">
        <f>AND('Ark1'!B618,"AAAAAF79f5g=")</f>
        <v>#VALUE!</v>
      </c>
      <c r="EX22" t="e">
        <f>AND('Ark1'!C618,"AAAAAF79f5k=")</f>
        <v>#VALUE!</v>
      </c>
      <c r="EY22" t="e">
        <f>AND('Ark1'!D618,"AAAAAF79f5o=")</f>
        <v>#VALUE!</v>
      </c>
      <c r="EZ22" t="e">
        <f>AND('Ark1'!E618,"AAAAAF79f5s=")</f>
        <v>#VALUE!</v>
      </c>
      <c r="FA22" t="e">
        <f>AND('Ark1'!F618,"AAAAAF79f5w=")</f>
        <v>#VALUE!</v>
      </c>
      <c r="FB22" t="e">
        <f>AND('Ark1'!G618,"AAAAAF79f50=")</f>
        <v>#VALUE!</v>
      </c>
      <c r="FC22" t="e">
        <f>AND('Ark1'!H618,"AAAAAF79f54=")</f>
        <v>#VALUE!</v>
      </c>
      <c r="FD22">
        <f>IF('Ark1'!619:619,"AAAAAF79f58=",0)</f>
        <v>0</v>
      </c>
      <c r="FE22" t="e">
        <f>AND('Ark1'!A619,"AAAAAF79f6A=")</f>
        <v>#VALUE!</v>
      </c>
      <c r="FF22" t="e">
        <f>AND('Ark1'!B619,"AAAAAF79f6E=")</f>
        <v>#VALUE!</v>
      </c>
      <c r="FG22" t="e">
        <f>AND('Ark1'!C619,"AAAAAF79f6I=")</f>
        <v>#VALUE!</v>
      </c>
      <c r="FH22" t="e">
        <f>AND('Ark1'!D619,"AAAAAF79f6M=")</f>
        <v>#VALUE!</v>
      </c>
      <c r="FI22" t="e">
        <f>AND('Ark1'!E619,"AAAAAF79f6Q=")</f>
        <v>#VALUE!</v>
      </c>
      <c r="FJ22" t="e">
        <f>AND('Ark1'!F619,"AAAAAF79f6U=")</f>
        <v>#VALUE!</v>
      </c>
      <c r="FK22" t="e">
        <f>AND('Ark1'!G619,"AAAAAF79f6Y=")</f>
        <v>#VALUE!</v>
      </c>
      <c r="FL22" t="e">
        <f>AND('Ark1'!H619,"AAAAAF79f6c=")</f>
        <v>#VALUE!</v>
      </c>
      <c r="FM22">
        <f>IF('Ark1'!620:620,"AAAAAF79f6g=",0)</f>
        <v>0</v>
      </c>
      <c r="FN22" t="e">
        <f>AND('Ark1'!A620,"AAAAAF79f6k=")</f>
        <v>#VALUE!</v>
      </c>
      <c r="FO22" t="e">
        <f>AND('Ark1'!B620,"AAAAAF79f6o=")</f>
        <v>#VALUE!</v>
      </c>
      <c r="FP22" t="e">
        <f>AND('Ark1'!C620,"AAAAAF79f6s=")</f>
        <v>#VALUE!</v>
      </c>
      <c r="FQ22" t="e">
        <f>AND('Ark1'!D620,"AAAAAF79f6w=")</f>
        <v>#VALUE!</v>
      </c>
      <c r="FR22" t="e">
        <f>AND('Ark1'!E620,"AAAAAF79f60=")</f>
        <v>#VALUE!</v>
      </c>
      <c r="FS22" t="e">
        <f>AND('Ark1'!F620,"AAAAAF79f64=")</f>
        <v>#VALUE!</v>
      </c>
      <c r="FT22" t="e">
        <f>AND('Ark1'!G620,"AAAAAF79f68=")</f>
        <v>#VALUE!</v>
      </c>
      <c r="FU22" t="e">
        <f>AND('Ark1'!H620,"AAAAAF79f7A=")</f>
        <v>#VALUE!</v>
      </c>
      <c r="FV22">
        <f>IF('Ark1'!621:621,"AAAAAF79f7E=",0)</f>
        <v>0</v>
      </c>
      <c r="FW22" t="e">
        <f>AND('Ark1'!A621,"AAAAAF79f7I=")</f>
        <v>#VALUE!</v>
      </c>
      <c r="FX22" t="e">
        <f>AND('Ark1'!B621,"AAAAAF79f7M=")</f>
        <v>#VALUE!</v>
      </c>
      <c r="FY22" t="e">
        <f>AND('Ark1'!C621,"AAAAAF79f7Q=")</f>
        <v>#VALUE!</v>
      </c>
      <c r="FZ22" t="e">
        <f>AND('Ark1'!D621,"AAAAAF79f7U=")</f>
        <v>#VALUE!</v>
      </c>
      <c r="GA22" t="e">
        <f>AND('Ark1'!E621,"AAAAAF79f7Y=")</f>
        <v>#VALUE!</v>
      </c>
      <c r="GB22" t="e">
        <f>AND('Ark1'!F621,"AAAAAF79f7c=")</f>
        <v>#VALUE!</v>
      </c>
      <c r="GC22" t="e">
        <f>AND('Ark1'!G621,"AAAAAF79f7g=")</f>
        <v>#VALUE!</v>
      </c>
      <c r="GD22" t="e">
        <f>AND('Ark1'!H621,"AAAAAF79f7k=")</f>
        <v>#VALUE!</v>
      </c>
      <c r="GE22">
        <f>IF('Ark1'!622:622,"AAAAAF79f7o=",0)</f>
        <v>0</v>
      </c>
      <c r="GF22" t="e">
        <f>AND('Ark1'!A622,"AAAAAF79f7s=")</f>
        <v>#VALUE!</v>
      </c>
      <c r="GG22" t="e">
        <f>AND('Ark1'!B622,"AAAAAF79f7w=")</f>
        <v>#VALUE!</v>
      </c>
      <c r="GH22" t="e">
        <f>AND('Ark1'!C622,"AAAAAF79f70=")</f>
        <v>#VALUE!</v>
      </c>
      <c r="GI22" t="e">
        <f>AND('Ark1'!D622,"AAAAAF79f74=")</f>
        <v>#VALUE!</v>
      </c>
      <c r="GJ22" t="e">
        <f>AND('Ark1'!E622,"AAAAAF79f78=")</f>
        <v>#VALUE!</v>
      </c>
      <c r="GK22" t="e">
        <f>AND('Ark1'!F622,"AAAAAF79f8A=")</f>
        <v>#VALUE!</v>
      </c>
      <c r="GL22" t="e">
        <f>AND('Ark1'!G622,"AAAAAF79f8E=")</f>
        <v>#VALUE!</v>
      </c>
      <c r="GM22" t="e">
        <f>AND('Ark1'!H622,"AAAAAF79f8I=")</f>
        <v>#VALUE!</v>
      </c>
      <c r="GN22">
        <f>IF('Ark1'!623:623,"AAAAAF79f8M=",0)</f>
        <v>0</v>
      </c>
      <c r="GO22" t="e">
        <f>AND('Ark1'!A623,"AAAAAF79f8Q=")</f>
        <v>#VALUE!</v>
      </c>
      <c r="GP22" t="e">
        <f>AND('Ark1'!B623,"AAAAAF79f8U=")</f>
        <v>#VALUE!</v>
      </c>
      <c r="GQ22" t="e">
        <f>AND('Ark1'!C623,"AAAAAF79f8Y=")</f>
        <v>#VALUE!</v>
      </c>
      <c r="GR22" t="e">
        <f>AND('Ark1'!D623,"AAAAAF79f8c=")</f>
        <v>#VALUE!</v>
      </c>
      <c r="GS22" t="e">
        <f>AND('Ark1'!E623,"AAAAAF79f8g=")</f>
        <v>#VALUE!</v>
      </c>
      <c r="GT22" t="e">
        <f>AND('Ark1'!F623,"AAAAAF79f8k=")</f>
        <v>#VALUE!</v>
      </c>
      <c r="GU22" t="e">
        <f>AND('Ark1'!G623,"AAAAAF79f8o=")</f>
        <v>#VALUE!</v>
      </c>
      <c r="GV22" t="e">
        <f>AND('Ark1'!H623,"AAAAAF79f8s=")</f>
        <v>#VALUE!</v>
      </c>
      <c r="GW22">
        <f>IF('Ark1'!624:624,"AAAAAF79f8w=",0)</f>
        <v>0</v>
      </c>
      <c r="GX22" t="e">
        <f>AND('Ark1'!A624,"AAAAAF79f80=")</f>
        <v>#VALUE!</v>
      </c>
      <c r="GY22" t="e">
        <f>AND('Ark1'!B624,"AAAAAF79f84=")</f>
        <v>#VALUE!</v>
      </c>
      <c r="GZ22" t="e">
        <f>AND('Ark1'!C624,"AAAAAF79f88=")</f>
        <v>#VALUE!</v>
      </c>
      <c r="HA22" t="e">
        <f>AND('Ark1'!D624,"AAAAAF79f9A=")</f>
        <v>#VALUE!</v>
      </c>
      <c r="HB22" t="e">
        <f>AND('Ark1'!E624,"AAAAAF79f9E=")</f>
        <v>#VALUE!</v>
      </c>
      <c r="HC22" t="e">
        <f>AND('Ark1'!F624,"AAAAAF79f9I=")</f>
        <v>#VALUE!</v>
      </c>
      <c r="HD22" t="e">
        <f>AND('Ark1'!G624,"AAAAAF79f9M=")</f>
        <v>#VALUE!</v>
      </c>
      <c r="HE22" t="e">
        <f>AND('Ark1'!H624,"AAAAAF79f9Q=")</f>
        <v>#VALUE!</v>
      </c>
      <c r="HF22">
        <f>IF('Ark1'!625:625,"AAAAAF79f9U=",0)</f>
        <v>0</v>
      </c>
      <c r="HG22" t="e">
        <f>AND('Ark1'!A625,"AAAAAF79f9Y=")</f>
        <v>#VALUE!</v>
      </c>
      <c r="HH22" t="e">
        <f>AND('Ark1'!B625,"AAAAAF79f9c=")</f>
        <v>#VALUE!</v>
      </c>
      <c r="HI22" t="e">
        <f>AND('Ark1'!C625,"AAAAAF79f9g=")</f>
        <v>#VALUE!</v>
      </c>
      <c r="HJ22" t="e">
        <f>AND('Ark1'!D625,"AAAAAF79f9k=")</f>
        <v>#VALUE!</v>
      </c>
      <c r="HK22" t="e">
        <f>AND('Ark1'!E625,"AAAAAF79f9o=")</f>
        <v>#VALUE!</v>
      </c>
      <c r="HL22" t="e">
        <f>AND('Ark1'!F625,"AAAAAF79f9s=")</f>
        <v>#VALUE!</v>
      </c>
      <c r="HM22" t="e">
        <f>AND('Ark1'!G625,"AAAAAF79f9w=")</f>
        <v>#VALUE!</v>
      </c>
      <c r="HN22" t="e">
        <f>AND('Ark1'!H625,"AAAAAF79f90=")</f>
        <v>#VALUE!</v>
      </c>
      <c r="HO22">
        <f>IF('Ark1'!626:626,"AAAAAF79f94=",0)</f>
        <v>0</v>
      </c>
      <c r="HP22" t="e">
        <f>AND('Ark1'!A626,"AAAAAF79f98=")</f>
        <v>#VALUE!</v>
      </c>
      <c r="HQ22" t="e">
        <f>AND('Ark1'!B626,"AAAAAF79f+A=")</f>
        <v>#VALUE!</v>
      </c>
      <c r="HR22" t="e">
        <f>AND('Ark1'!C626,"AAAAAF79f+E=")</f>
        <v>#VALUE!</v>
      </c>
      <c r="HS22" t="e">
        <f>AND('Ark1'!D626,"AAAAAF79f+I=")</f>
        <v>#VALUE!</v>
      </c>
      <c r="HT22" t="e">
        <f>AND('Ark1'!E626,"AAAAAF79f+M=")</f>
        <v>#VALUE!</v>
      </c>
      <c r="HU22" t="e">
        <f>AND('Ark1'!F626,"AAAAAF79f+Q=")</f>
        <v>#VALUE!</v>
      </c>
      <c r="HV22" t="e">
        <f>AND('Ark1'!G626,"AAAAAF79f+U=")</f>
        <v>#VALUE!</v>
      </c>
      <c r="HW22" t="e">
        <f>AND('Ark1'!H626,"AAAAAF79f+Y=")</f>
        <v>#VALUE!</v>
      </c>
      <c r="HX22">
        <f>IF('Ark1'!627:627,"AAAAAF79f+c=",0)</f>
        <v>0</v>
      </c>
      <c r="HY22" t="e">
        <f>AND('Ark1'!A627,"AAAAAF79f+g=")</f>
        <v>#VALUE!</v>
      </c>
      <c r="HZ22" t="e">
        <f>AND('Ark1'!B627,"AAAAAF79f+k=")</f>
        <v>#VALUE!</v>
      </c>
      <c r="IA22" t="e">
        <f>AND('Ark1'!C627,"AAAAAF79f+o=")</f>
        <v>#VALUE!</v>
      </c>
      <c r="IB22" t="e">
        <f>AND('Ark1'!D627,"AAAAAF79f+s=")</f>
        <v>#VALUE!</v>
      </c>
      <c r="IC22" t="e">
        <f>AND('Ark1'!E627,"AAAAAF79f+w=")</f>
        <v>#VALUE!</v>
      </c>
      <c r="ID22" t="e">
        <f>AND('Ark1'!F627,"AAAAAF79f+0=")</f>
        <v>#VALUE!</v>
      </c>
      <c r="IE22" t="e">
        <f>AND('Ark1'!G627,"AAAAAF79f+4=")</f>
        <v>#VALUE!</v>
      </c>
      <c r="IF22" t="e">
        <f>AND('Ark1'!H627,"AAAAAF79f+8=")</f>
        <v>#VALUE!</v>
      </c>
      <c r="IG22">
        <f>IF('Ark1'!628:628,"AAAAAF79f/A=",0)</f>
        <v>0</v>
      </c>
      <c r="IH22" t="e">
        <f>AND('Ark1'!A628,"AAAAAF79f/E=")</f>
        <v>#VALUE!</v>
      </c>
      <c r="II22" t="e">
        <f>AND('Ark1'!B628,"AAAAAF79f/I=")</f>
        <v>#VALUE!</v>
      </c>
      <c r="IJ22" t="e">
        <f>AND('Ark1'!C628,"AAAAAF79f/M=")</f>
        <v>#VALUE!</v>
      </c>
      <c r="IK22" t="e">
        <f>AND('Ark1'!D628,"AAAAAF79f/Q=")</f>
        <v>#VALUE!</v>
      </c>
      <c r="IL22" t="e">
        <f>AND('Ark1'!E628,"AAAAAF79f/U=")</f>
        <v>#VALUE!</v>
      </c>
      <c r="IM22" t="e">
        <f>AND('Ark1'!F628,"AAAAAF79f/Y=")</f>
        <v>#VALUE!</v>
      </c>
      <c r="IN22" t="e">
        <f>AND('Ark1'!G628,"AAAAAF79f/c=")</f>
        <v>#VALUE!</v>
      </c>
      <c r="IO22" t="e">
        <f>AND('Ark1'!H628,"AAAAAF79f/g=")</f>
        <v>#VALUE!</v>
      </c>
      <c r="IP22">
        <f>IF('Ark1'!629:629,"AAAAAF79f/k=",0)</f>
        <v>0</v>
      </c>
      <c r="IQ22" t="e">
        <f>AND('Ark1'!A629,"AAAAAF79f/o=")</f>
        <v>#VALUE!</v>
      </c>
      <c r="IR22" t="e">
        <f>AND('Ark1'!B629,"AAAAAF79f/s=")</f>
        <v>#VALUE!</v>
      </c>
      <c r="IS22" t="e">
        <f>AND('Ark1'!C629,"AAAAAF79f/w=")</f>
        <v>#VALUE!</v>
      </c>
      <c r="IT22" t="e">
        <f>AND('Ark1'!D629,"AAAAAF79f/0=")</f>
        <v>#VALUE!</v>
      </c>
      <c r="IU22" t="e">
        <f>AND('Ark1'!E629,"AAAAAF79f/4=")</f>
        <v>#VALUE!</v>
      </c>
      <c r="IV22" t="e">
        <f>AND('Ark1'!F629,"AAAAAF79f/8=")</f>
        <v>#VALUE!</v>
      </c>
    </row>
    <row r="23" spans="1:256" x14ac:dyDescent="0.25">
      <c r="A23" t="e">
        <f>AND('Ark1'!G629,"AAAAAF9dugA=")</f>
        <v>#VALUE!</v>
      </c>
      <c r="B23" t="e">
        <f>AND('Ark1'!H629,"AAAAAF9dugE=")</f>
        <v>#VALUE!</v>
      </c>
      <c r="C23">
        <f>IF('Ark1'!630:630,"AAAAAF9dugI=",0)</f>
        <v>0</v>
      </c>
      <c r="D23" t="e">
        <f>AND('Ark1'!A630,"AAAAAF9dugM=")</f>
        <v>#VALUE!</v>
      </c>
      <c r="E23" t="e">
        <f>AND('Ark1'!B630,"AAAAAF9dugQ=")</f>
        <v>#VALUE!</v>
      </c>
      <c r="F23" t="e">
        <f>AND('Ark1'!C630,"AAAAAF9dugU=")</f>
        <v>#VALUE!</v>
      </c>
      <c r="G23" t="e">
        <f>AND('Ark1'!D630,"AAAAAF9dugY=")</f>
        <v>#VALUE!</v>
      </c>
      <c r="H23" t="e">
        <f>AND('Ark1'!E630,"AAAAAF9dugc=")</f>
        <v>#VALUE!</v>
      </c>
      <c r="I23" t="e">
        <f>AND('Ark1'!F630,"AAAAAF9dugg=")</f>
        <v>#VALUE!</v>
      </c>
      <c r="J23" t="e">
        <f>AND('Ark1'!G630,"AAAAAF9dugk=")</f>
        <v>#VALUE!</v>
      </c>
      <c r="K23" t="e">
        <f>AND('Ark1'!H630,"AAAAAF9dugo=")</f>
        <v>#VALUE!</v>
      </c>
      <c r="L23">
        <f>IF('Ark1'!631:631,"AAAAAF9dugs=",0)</f>
        <v>0</v>
      </c>
      <c r="M23" t="e">
        <f>AND('Ark1'!A631,"AAAAAF9dugw=")</f>
        <v>#VALUE!</v>
      </c>
      <c r="N23" t="e">
        <f>AND('Ark1'!B631,"AAAAAF9dug0=")</f>
        <v>#VALUE!</v>
      </c>
      <c r="O23" t="e">
        <f>AND('Ark1'!C631,"AAAAAF9dug4=")</f>
        <v>#VALUE!</v>
      </c>
      <c r="P23" t="e">
        <f>AND('Ark1'!D631,"AAAAAF9dug8=")</f>
        <v>#VALUE!</v>
      </c>
      <c r="Q23" t="e">
        <f>AND('Ark1'!E631,"AAAAAF9duhA=")</f>
        <v>#VALUE!</v>
      </c>
      <c r="R23" t="e">
        <f>AND('Ark1'!F631,"AAAAAF9duhE=")</f>
        <v>#VALUE!</v>
      </c>
      <c r="S23" t="e">
        <f>AND('Ark1'!G631,"AAAAAF9duhI=")</f>
        <v>#VALUE!</v>
      </c>
      <c r="T23" t="e">
        <f>AND('Ark1'!H631,"AAAAAF9duhM=")</f>
        <v>#VALUE!</v>
      </c>
      <c r="U23">
        <f>IF('Ark1'!632:632,"AAAAAF9duhQ=",0)</f>
        <v>0</v>
      </c>
      <c r="V23" t="e">
        <f>AND('Ark1'!A632,"AAAAAF9duhU=")</f>
        <v>#VALUE!</v>
      </c>
      <c r="W23" t="e">
        <f>AND('Ark1'!B632,"AAAAAF9duhY=")</f>
        <v>#VALUE!</v>
      </c>
      <c r="X23" t="e">
        <f>AND('Ark1'!C632,"AAAAAF9duhc=")</f>
        <v>#VALUE!</v>
      </c>
      <c r="Y23" t="e">
        <f>AND('Ark1'!D632,"AAAAAF9duhg=")</f>
        <v>#VALUE!</v>
      </c>
      <c r="Z23" t="e">
        <f>AND('Ark1'!E632,"AAAAAF9duhk=")</f>
        <v>#VALUE!</v>
      </c>
      <c r="AA23" t="e">
        <f>AND('Ark1'!F632,"AAAAAF9duho=")</f>
        <v>#VALUE!</v>
      </c>
      <c r="AB23" t="e">
        <f>AND('Ark1'!G632,"AAAAAF9duhs=")</f>
        <v>#VALUE!</v>
      </c>
      <c r="AC23" t="e">
        <f>AND('Ark1'!H632,"AAAAAF9duhw=")</f>
        <v>#VALUE!</v>
      </c>
      <c r="AD23">
        <f>IF('Ark1'!633:633,"AAAAAF9duh0=",0)</f>
        <v>0</v>
      </c>
      <c r="AE23" t="e">
        <f>AND('Ark1'!A633,"AAAAAF9duh4=")</f>
        <v>#VALUE!</v>
      </c>
      <c r="AF23" t="e">
        <f>AND('Ark1'!B633,"AAAAAF9duh8=")</f>
        <v>#VALUE!</v>
      </c>
      <c r="AG23" t="e">
        <f>AND('Ark1'!C633,"AAAAAF9duiA=")</f>
        <v>#VALUE!</v>
      </c>
      <c r="AH23" t="e">
        <f>AND('Ark1'!D633,"AAAAAF9duiE=")</f>
        <v>#VALUE!</v>
      </c>
      <c r="AI23" t="e">
        <f>AND('Ark1'!E633,"AAAAAF9duiI=")</f>
        <v>#VALUE!</v>
      </c>
      <c r="AJ23" t="e">
        <f>AND('Ark1'!F633,"AAAAAF9duiM=")</f>
        <v>#VALUE!</v>
      </c>
      <c r="AK23" t="e">
        <f>AND('Ark1'!G633,"AAAAAF9duiQ=")</f>
        <v>#VALUE!</v>
      </c>
      <c r="AL23" t="e">
        <f>AND('Ark1'!H633,"AAAAAF9duiU=")</f>
        <v>#VALUE!</v>
      </c>
      <c r="AM23">
        <f>IF('Ark1'!634:634,"AAAAAF9duiY=",0)</f>
        <v>0</v>
      </c>
      <c r="AN23" t="e">
        <f>AND('Ark1'!A634,"AAAAAF9duic=")</f>
        <v>#VALUE!</v>
      </c>
      <c r="AO23" t="e">
        <f>AND('Ark1'!B634,"AAAAAF9duig=")</f>
        <v>#VALUE!</v>
      </c>
      <c r="AP23" t="e">
        <f>AND('Ark1'!C634,"AAAAAF9duik=")</f>
        <v>#VALUE!</v>
      </c>
      <c r="AQ23" t="e">
        <f>AND('Ark1'!D634,"AAAAAF9duio=")</f>
        <v>#VALUE!</v>
      </c>
      <c r="AR23" t="e">
        <f>AND('Ark1'!E634,"AAAAAF9duis=")</f>
        <v>#VALUE!</v>
      </c>
      <c r="AS23" t="e">
        <f>AND('Ark1'!F634,"AAAAAF9duiw=")</f>
        <v>#VALUE!</v>
      </c>
      <c r="AT23" t="e">
        <f>AND('Ark1'!G634,"AAAAAF9dui0=")</f>
        <v>#VALUE!</v>
      </c>
      <c r="AU23" t="e">
        <f>AND('Ark1'!H634,"AAAAAF9dui4=")</f>
        <v>#VALUE!</v>
      </c>
      <c r="AV23">
        <f>IF('Ark1'!635:635,"AAAAAF9dui8=",0)</f>
        <v>0</v>
      </c>
      <c r="AW23" t="e">
        <f>AND('Ark1'!A635,"AAAAAF9dujA=")</f>
        <v>#VALUE!</v>
      </c>
      <c r="AX23" t="e">
        <f>AND('Ark1'!B635,"AAAAAF9dujE=")</f>
        <v>#VALUE!</v>
      </c>
      <c r="AY23" t="e">
        <f>AND('Ark1'!C635,"AAAAAF9dujI=")</f>
        <v>#VALUE!</v>
      </c>
      <c r="AZ23" t="e">
        <f>AND('Ark1'!D635,"AAAAAF9dujM=")</f>
        <v>#VALUE!</v>
      </c>
      <c r="BA23" t="e">
        <f>AND('Ark1'!E635,"AAAAAF9dujQ=")</f>
        <v>#VALUE!</v>
      </c>
      <c r="BB23" t="e">
        <f>AND('Ark1'!F635,"AAAAAF9dujU=")</f>
        <v>#VALUE!</v>
      </c>
      <c r="BC23" t="e">
        <f>AND('Ark1'!G635,"AAAAAF9dujY=")</f>
        <v>#VALUE!</v>
      </c>
      <c r="BD23" t="e">
        <f>AND('Ark1'!H635,"AAAAAF9dujc=")</f>
        <v>#VALUE!</v>
      </c>
      <c r="BE23">
        <f>IF('Ark1'!636:636,"AAAAAF9dujg=",0)</f>
        <v>0</v>
      </c>
      <c r="BF23" t="e">
        <f>AND('Ark1'!A636,"AAAAAF9dujk=")</f>
        <v>#VALUE!</v>
      </c>
      <c r="BG23" t="e">
        <f>AND('Ark1'!B636,"AAAAAF9dujo=")</f>
        <v>#VALUE!</v>
      </c>
      <c r="BH23" t="e">
        <f>AND('Ark1'!C636,"AAAAAF9dujs=")</f>
        <v>#VALUE!</v>
      </c>
      <c r="BI23" t="e">
        <f>AND('Ark1'!D636,"AAAAAF9dujw=")</f>
        <v>#VALUE!</v>
      </c>
      <c r="BJ23" t="e">
        <f>AND('Ark1'!E636,"AAAAAF9duj0=")</f>
        <v>#VALUE!</v>
      </c>
      <c r="BK23" t="e">
        <f>AND('Ark1'!F636,"AAAAAF9duj4=")</f>
        <v>#VALUE!</v>
      </c>
      <c r="BL23" t="e">
        <f>AND('Ark1'!G636,"AAAAAF9duj8=")</f>
        <v>#VALUE!</v>
      </c>
      <c r="BM23" t="e">
        <f>AND('Ark1'!H636,"AAAAAF9dukA=")</f>
        <v>#VALUE!</v>
      </c>
      <c r="BN23">
        <f>IF('Ark1'!637:637,"AAAAAF9dukE=",0)</f>
        <v>0</v>
      </c>
      <c r="BO23" t="e">
        <f>AND('Ark1'!A637,"AAAAAF9dukI=")</f>
        <v>#VALUE!</v>
      </c>
      <c r="BP23" t="e">
        <f>AND('Ark1'!B637,"AAAAAF9dukM=")</f>
        <v>#VALUE!</v>
      </c>
      <c r="BQ23" t="e">
        <f>AND('Ark1'!C637,"AAAAAF9dukQ=")</f>
        <v>#VALUE!</v>
      </c>
      <c r="BR23" t="e">
        <f>AND('Ark1'!D637,"AAAAAF9dukU=")</f>
        <v>#VALUE!</v>
      </c>
      <c r="BS23" t="e">
        <f>AND('Ark1'!E637,"AAAAAF9dukY=")</f>
        <v>#VALUE!</v>
      </c>
      <c r="BT23" t="e">
        <f>AND('Ark1'!F637,"AAAAAF9dukc=")</f>
        <v>#VALUE!</v>
      </c>
      <c r="BU23" t="e">
        <f>AND('Ark1'!G637,"AAAAAF9dukg=")</f>
        <v>#VALUE!</v>
      </c>
      <c r="BV23" t="e">
        <f>AND('Ark1'!H637,"AAAAAF9dukk=")</f>
        <v>#VALUE!</v>
      </c>
      <c r="BW23">
        <f>IF('Ark1'!638:638,"AAAAAF9duko=",0)</f>
        <v>0</v>
      </c>
      <c r="BX23" t="e">
        <f>AND('Ark1'!A638,"AAAAAF9duks=")</f>
        <v>#VALUE!</v>
      </c>
      <c r="BY23" t="e">
        <f>AND('Ark1'!B638,"AAAAAF9dukw=")</f>
        <v>#VALUE!</v>
      </c>
      <c r="BZ23" t="e">
        <f>AND('Ark1'!C638,"AAAAAF9duk0=")</f>
        <v>#VALUE!</v>
      </c>
      <c r="CA23" t="e">
        <f>AND('Ark1'!D638,"AAAAAF9duk4=")</f>
        <v>#VALUE!</v>
      </c>
      <c r="CB23" t="e">
        <f>AND('Ark1'!E638,"AAAAAF9duk8=")</f>
        <v>#VALUE!</v>
      </c>
      <c r="CC23" t="e">
        <f>AND('Ark1'!F638,"AAAAAF9dulA=")</f>
        <v>#VALUE!</v>
      </c>
      <c r="CD23" t="e">
        <f>AND('Ark1'!G638,"AAAAAF9dulE=")</f>
        <v>#VALUE!</v>
      </c>
      <c r="CE23" t="e">
        <f>AND('Ark1'!H638,"AAAAAF9dulI=")</f>
        <v>#VALUE!</v>
      </c>
      <c r="CF23">
        <f>IF('Ark1'!639:639,"AAAAAF9dulM=",0)</f>
        <v>0</v>
      </c>
      <c r="CG23" t="e">
        <f>AND('Ark1'!A639,"AAAAAF9dulQ=")</f>
        <v>#VALUE!</v>
      </c>
      <c r="CH23" t="e">
        <f>AND('Ark1'!B639,"AAAAAF9dulU=")</f>
        <v>#VALUE!</v>
      </c>
      <c r="CI23" t="e">
        <f>AND('Ark1'!C639,"AAAAAF9dulY=")</f>
        <v>#VALUE!</v>
      </c>
      <c r="CJ23" t="e">
        <f>AND('Ark1'!D639,"AAAAAF9dulc=")</f>
        <v>#VALUE!</v>
      </c>
      <c r="CK23" t="e">
        <f>AND('Ark1'!E639,"AAAAAF9dulg=")</f>
        <v>#VALUE!</v>
      </c>
      <c r="CL23" t="e">
        <f>AND('Ark1'!F639,"AAAAAF9dulk=")</f>
        <v>#VALUE!</v>
      </c>
      <c r="CM23" t="e">
        <f>AND('Ark1'!G639,"AAAAAF9dulo=")</f>
        <v>#VALUE!</v>
      </c>
      <c r="CN23" t="e">
        <f>AND('Ark1'!H639,"AAAAAF9duls=")</f>
        <v>#VALUE!</v>
      </c>
      <c r="CO23">
        <f>IF('Ark1'!640:640,"AAAAAF9dulw=",0)</f>
        <v>0</v>
      </c>
      <c r="CP23" t="e">
        <f>AND('Ark1'!A640,"AAAAAF9dul0=")</f>
        <v>#VALUE!</v>
      </c>
      <c r="CQ23" t="e">
        <f>AND('Ark1'!B640,"AAAAAF9dul4=")</f>
        <v>#VALUE!</v>
      </c>
      <c r="CR23" t="e">
        <f>AND('Ark1'!C640,"AAAAAF9dul8=")</f>
        <v>#VALUE!</v>
      </c>
      <c r="CS23" t="e">
        <f>AND('Ark1'!D640,"AAAAAF9dumA=")</f>
        <v>#VALUE!</v>
      </c>
      <c r="CT23" t="e">
        <f>AND('Ark1'!E640,"AAAAAF9dumE=")</f>
        <v>#VALUE!</v>
      </c>
      <c r="CU23" t="e">
        <f>AND('Ark1'!F640,"AAAAAF9dumI=")</f>
        <v>#VALUE!</v>
      </c>
      <c r="CV23" t="e">
        <f>AND('Ark1'!G640,"AAAAAF9dumM=")</f>
        <v>#VALUE!</v>
      </c>
      <c r="CW23" t="e">
        <f>AND('Ark1'!H640,"AAAAAF9dumQ=")</f>
        <v>#VALUE!</v>
      </c>
      <c r="CX23">
        <f>IF('Ark1'!641:641,"AAAAAF9dumU=",0)</f>
        <v>0</v>
      </c>
      <c r="CY23" t="e">
        <f>AND('Ark1'!A641,"AAAAAF9dumY=")</f>
        <v>#VALUE!</v>
      </c>
      <c r="CZ23" t="e">
        <f>AND('Ark1'!B641,"AAAAAF9dumc=")</f>
        <v>#VALUE!</v>
      </c>
      <c r="DA23" t="e">
        <f>AND('Ark1'!C641,"AAAAAF9dumg=")</f>
        <v>#VALUE!</v>
      </c>
      <c r="DB23" t="e">
        <f>AND('Ark1'!D641,"AAAAAF9dumk=")</f>
        <v>#VALUE!</v>
      </c>
      <c r="DC23" t="e">
        <f>AND('Ark1'!E641,"AAAAAF9dumo=")</f>
        <v>#VALUE!</v>
      </c>
      <c r="DD23" t="e">
        <f>AND('Ark1'!F641,"AAAAAF9dums=")</f>
        <v>#VALUE!</v>
      </c>
      <c r="DE23" t="e">
        <f>AND('Ark1'!G641,"AAAAAF9dumw=")</f>
        <v>#VALUE!</v>
      </c>
      <c r="DF23" t="e">
        <f>AND('Ark1'!H641,"AAAAAF9dum0=")</f>
        <v>#VALUE!</v>
      </c>
      <c r="DG23">
        <f>IF('Ark1'!642:642,"AAAAAF9dum4=",0)</f>
        <v>0</v>
      </c>
      <c r="DH23" t="e">
        <f>AND('Ark1'!A642,"AAAAAF9dum8=")</f>
        <v>#VALUE!</v>
      </c>
      <c r="DI23" t="e">
        <f>AND('Ark1'!B642,"AAAAAF9dunA=")</f>
        <v>#VALUE!</v>
      </c>
      <c r="DJ23" t="e">
        <f>AND('Ark1'!C642,"AAAAAF9dunE=")</f>
        <v>#VALUE!</v>
      </c>
      <c r="DK23" t="e">
        <f>AND('Ark1'!D642,"AAAAAF9dunI=")</f>
        <v>#VALUE!</v>
      </c>
      <c r="DL23" t="e">
        <f>AND('Ark1'!E642,"AAAAAF9dunM=")</f>
        <v>#VALUE!</v>
      </c>
      <c r="DM23" t="e">
        <f>AND('Ark1'!F642,"AAAAAF9dunQ=")</f>
        <v>#VALUE!</v>
      </c>
      <c r="DN23" t="e">
        <f>AND('Ark1'!G642,"AAAAAF9dunU=")</f>
        <v>#VALUE!</v>
      </c>
      <c r="DO23" t="e">
        <f>AND('Ark1'!H642,"AAAAAF9dunY=")</f>
        <v>#VALUE!</v>
      </c>
      <c r="DP23">
        <f>IF('Ark1'!643:643,"AAAAAF9dunc=",0)</f>
        <v>0</v>
      </c>
      <c r="DQ23" t="e">
        <f>AND('Ark1'!A643,"AAAAAF9dung=")</f>
        <v>#VALUE!</v>
      </c>
      <c r="DR23" t="e">
        <f>AND('Ark1'!B643,"AAAAAF9dunk=")</f>
        <v>#VALUE!</v>
      </c>
      <c r="DS23" t="e">
        <f>AND('Ark1'!C643,"AAAAAF9duno=")</f>
        <v>#VALUE!</v>
      </c>
      <c r="DT23" t="e">
        <f>AND('Ark1'!D643,"AAAAAF9duns=")</f>
        <v>#VALUE!</v>
      </c>
      <c r="DU23" t="e">
        <f>AND('Ark1'!E643,"AAAAAF9dunw=")</f>
        <v>#VALUE!</v>
      </c>
      <c r="DV23" t="e">
        <f>AND('Ark1'!F643,"AAAAAF9dun0=")</f>
        <v>#VALUE!</v>
      </c>
      <c r="DW23" t="e">
        <f>AND('Ark1'!G643,"AAAAAF9dun4=")</f>
        <v>#VALUE!</v>
      </c>
      <c r="DX23" t="e">
        <f>AND('Ark1'!H643,"AAAAAF9dun8=")</f>
        <v>#VALUE!</v>
      </c>
      <c r="DY23">
        <f>IF('Ark1'!644:644,"AAAAAF9duoA=",0)</f>
        <v>0</v>
      </c>
      <c r="DZ23" t="e">
        <f>AND('Ark1'!A644,"AAAAAF9duoE=")</f>
        <v>#VALUE!</v>
      </c>
      <c r="EA23" t="e">
        <f>AND('Ark1'!B644,"AAAAAF9duoI=")</f>
        <v>#VALUE!</v>
      </c>
      <c r="EB23" t="e">
        <f>AND('Ark1'!C644,"AAAAAF9duoM=")</f>
        <v>#VALUE!</v>
      </c>
      <c r="EC23" t="e">
        <f>AND('Ark1'!D644,"AAAAAF9duoQ=")</f>
        <v>#VALUE!</v>
      </c>
      <c r="ED23" t="e">
        <f>AND('Ark1'!E644,"AAAAAF9duoU=")</f>
        <v>#VALUE!</v>
      </c>
      <c r="EE23" t="e">
        <f>AND('Ark1'!F644,"AAAAAF9duoY=")</f>
        <v>#VALUE!</v>
      </c>
      <c r="EF23" t="e">
        <f>AND('Ark1'!G644,"AAAAAF9duoc=")</f>
        <v>#VALUE!</v>
      </c>
      <c r="EG23" t="e">
        <f>AND('Ark1'!H644,"AAAAAF9duog=")</f>
        <v>#VALUE!</v>
      </c>
      <c r="EH23">
        <f>IF('Ark1'!645:645,"AAAAAF9duok=",0)</f>
        <v>0</v>
      </c>
      <c r="EI23" t="e">
        <f>AND('Ark1'!A645,"AAAAAF9duoo=")</f>
        <v>#VALUE!</v>
      </c>
      <c r="EJ23" t="e">
        <f>AND('Ark1'!B645,"AAAAAF9duos=")</f>
        <v>#VALUE!</v>
      </c>
      <c r="EK23" t="e">
        <f>AND('Ark1'!C645,"AAAAAF9duow=")</f>
        <v>#VALUE!</v>
      </c>
      <c r="EL23" t="e">
        <f>AND('Ark1'!D645,"AAAAAF9duo0=")</f>
        <v>#VALUE!</v>
      </c>
      <c r="EM23" t="e">
        <f>AND('Ark1'!E645,"AAAAAF9duo4=")</f>
        <v>#VALUE!</v>
      </c>
      <c r="EN23" t="e">
        <f>AND('Ark1'!F645,"AAAAAF9duo8=")</f>
        <v>#VALUE!</v>
      </c>
      <c r="EO23" t="e">
        <f>AND('Ark1'!G645,"AAAAAF9dupA=")</f>
        <v>#VALUE!</v>
      </c>
      <c r="EP23" t="e">
        <f>AND('Ark1'!H645,"AAAAAF9dupE=")</f>
        <v>#VALUE!</v>
      </c>
      <c r="EQ23">
        <f>IF('Ark1'!646:646,"AAAAAF9dupI=",0)</f>
        <v>0</v>
      </c>
      <c r="ER23" t="e">
        <f>AND('Ark1'!A646,"AAAAAF9dupM=")</f>
        <v>#VALUE!</v>
      </c>
      <c r="ES23" t="e">
        <f>AND('Ark1'!B646,"AAAAAF9dupQ=")</f>
        <v>#VALUE!</v>
      </c>
      <c r="ET23" t="e">
        <f>AND('Ark1'!C646,"AAAAAF9dupU=")</f>
        <v>#VALUE!</v>
      </c>
      <c r="EU23" t="e">
        <f>AND('Ark1'!D646,"AAAAAF9dupY=")</f>
        <v>#VALUE!</v>
      </c>
      <c r="EV23" t="e">
        <f>AND('Ark1'!E646,"AAAAAF9dupc=")</f>
        <v>#VALUE!</v>
      </c>
      <c r="EW23" t="e">
        <f>AND('Ark1'!F646,"AAAAAF9dupg=")</f>
        <v>#VALUE!</v>
      </c>
      <c r="EX23" t="e">
        <f>AND('Ark1'!G646,"AAAAAF9dupk=")</f>
        <v>#VALUE!</v>
      </c>
      <c r="EY23" t="e">
        <f>AND('Ark1'!H646,"AAAAAF9dupo=")</f>
        <v>#VALUE!</v>
      </c>
      <c r="EZ23">
        <f>IF('Ark1'!647:647,"AAAAAF9dups=",0)</f>
        <v>0</v>
      </c>
      <c r="FA23" t="e">
        <f>AND('Ark1'!A647,"AAAAAF9dupw=")</f>
        <v>#VALUE!</v>
      </c>
      <c r="FB23" t="e">
        <f>AND('Ark1'!B647,"AAAAAF9dup0=")</f>
        <v>#VALUE!</v>
      </c>
      <c r="FC23" t="e">
        <f>AND('Ark1'!C647,"AAAAAF9dup4=")</f>
        <v>#VALUE!</v>
      </c>
      <c r="FD23" t="e">
        <f>AND('Ark1'!D647,"AAAAAF9dup8=")</f>
        <v>#VALUE!</v>
      </c>
      <c r="FE23" t="e">
        <f>AND('Ark1'!E647,"AAAAAF9duqA=")</f>
        <v>#VALUE!</v>
      </c>
      <c r="FF23" t="e">
        <f>AND('Ark1'!F647,"AAAAAF9duqE=")</f>
        <v>#VALUE!</v>
      </c>
      <c r="FG23" t="e">
        <f>AND('Ark1'!G647,"AAAAAF9duqI=")</f>
        <v>#VALUE!</v>
      </c>
      <c r="FH23" t="e">
        <f>AND('Ark1'!H647,"AAAAAF9duqM=")</f>
        <v>#VALUE!</v>
      </c>
      <c r="FI23">
        <f>IF('Ark1'!648:648,"AAAAAF9duqQ=",0)</f>
        <v>0</v>
      </c>
      <c r="FJ23" t="e">
        <f>AND('Ark1'!A648,"AAAAAF9duqU=")</f>
        <v>#VALUE!</v>
      </c>
      <c r="FK23" t="e">
        <f>AND('Ark1'!B648,"AAAAAF9duqY=")</f>
        <v>#VALUE!</v>
      </c>
      <c r="FL23" t="e">
        <f>AND('Ark1'!C648,"AAAAAF9duqc=")</f>
        <v>#VALUE!</v>
      </c>
      <c r="FM23" t="e">
        <f>AND('Ark1'!D648,"AAAAAF9duqg=")</f>
        <v>#VALUE!</v>
      </c>
      <c r="FN23" t="e">
        <f>AND('Ark1'!E648,"AAAAAF9duqk=")</f>
        <v>#VALUE!</v>
      </c>
      <c r="FO23" t="e">
        <f>AND('Ark1'!F648,"AAAAAF9duqo=")</f>
        <v>#VALUE!</v>
      </c>
      <c r="FP23" t="e">
        <f>AND('Ark1'!G648,"AAAAAF9duqs=")</f>
        <v>#VALUE!</v>
      </c>
      <c r="FQ23" t="e">
        <f>AND('Ark1'!H648,"AAAAAF9duqw=")</f>
        <v>#VALUE!</v>
      </c>
      <c r="FR23">
        <f>IF('Ark1'!649:649,"AAAAAF9duq0=",0)</f>
        <v>0</v>
      </c>
      <c r="FS23" t="e">
        <f>AND('Ark1'!A649,"AAAAAF9duq4=")</f>
        <v>#VALUE!</v>
      </c>
      <c r="FT23" t="e">
        <f>AND('Ark1'!B649,"AAAAAF9duq8=")</f>
        <v>#VALUE!</v>
      </c>
      <c r="FU23" t="e">
        <f>AND('Ark1'!C649,"AAAAAF9durA=")</f>
        <v>#VALUE!</v>
      </c>
      <c r="FV23" t="e">
        <f>AND('Ark1'!D649,"AAAAAF9durE=")</f>
        <v>#VALUE!</v>
      </c>
      <c r="FW23" t="e">
        <f>AND('Ark1'!E649,"AAAAAF9durI=")</f>
        <v>#VALUE!</v>
      </c>
      <c r="FX23" t="e">
        <f>AND('Ark1'!F649,"AAAAAF9durM=")</f>
        <v>#VALUE!</v>
      </c>
      <c r="FY23" t="e">
        <f>AND('Ark1'!G649,"AAAAAF9durQ=")</f>
        <v>#VALUE!</v>
      </c>
      <c r="FZ23" t="e">
        <f>AND('Ark1'!H649,"AAAAAF9durU=")</f>
        <v>#VALUE!</v>
      </c>
      <c r="GA23">
        <f>IF('Ark1'!650:650,"AAAAAF9durY=",0)</f>
        <v>0</v>
      </c>
      <c r="GB23" t="e">
        <f>AND('Ark1'!A650,"AAAAAF9durc=")</f>
        <v>#VALUE!</v>
      </c>
      <c r="GC23" t="e">
        <f>AND('Ark1'!B650,"AAAAAF9durg=")</f>
        <v>#VALUE!</v>
      </c>
      <c r="GD23" t="e">
        <f>AND('Ark1'!C650,"AAAAAF9durk=")</f>
        <v>#VALUE!</v>
      </c>
      <c r="GE23" t="e">
        <f>AND('Ark1'!D650,"AAAAAF9duro=")</f>
        <v>#VALUE!</v>
      </c>
      <c r="GF23" t="e">
        <f>AND('Ark1'!E650,"AAAAAF9durs=")</f>
        <v>#VALUE!</v>
      </c>
      <c r="GG23" t="e">
        <f>AND('Ark1'!F650,"AAAAAF9durw=")</f>
        <v>#VALUE!</v>
      </c>
      <c r="GH23" t="e">
        <f>AND('Ark1'!G650,"AAAAAF9dur0=")</f>
        <v>#VALUE!</v>
      </c>
      <c r="GI23" t="e">
        <f>AND('Ark1'!H650,"AAAAAF9dur4=")</f>
        <v>#VALUE!</v>
      </c>
      <c r="GJ23">
        <f>IF('Ark1'!651:651,"AAAAAF9dur8=",0)</f>
        <v>0</v>
      </c>
      <c r="GK23" t="e">
        <f>AND('Ark1'!A651,"AAAAAF9dusA=")</f>
        <v>#VALUE!</v>
      </c>
      <c r="GL23" t="e">
        <f>AND('Ark1'!B651,"AAAAAF9dusE=")</f>
        <v>#VALUE!</v>
      </c>
      <c r="GM23" t="e">
        <f>AND('Ark1'!C651,"AAAAAF9dusI=")</f>
        <v>#VALUE!</v>
      </c>
      <c r="GN23" t="e">
        <f>AND('Ark1'!D651,"AAAAAF9dusM=")</f>
        <v>#VALUE!</v>
      </c>
      <c r="GO23" t="e">
        <f>AND('Ark1'!E651,"AAAAAF9dusQ=")</f>
        <v>#VALUE!</v>
      </c>
      <c r="GP23" t="e">
        <f>AND('Ark1'!F651,"AAAAAF9dusU=")</f>
        <v>#VALUE!</v>
      </c>
      <c r="GQ23" t="e">
        <f>AND('Ark1'!G651,"AAAAAF9dusY=")</f>
        <v>#VALUE!</v>
      </c>
      <c r="GR23" t="e">
        <f>AND('Ark1'!H651,"AAAAAF9dusc=")</f>
        <v>#VALUE!</v>
      </c>
      <c r="GS23">
        <f>IF('Ark1'!652:652,"AAAAAF9dusg=",0)</f>
        <v>0</v>
      </c>
      <c r="GT23" t="e">
        <f>AND('Ark1'!A652,"AAAAAF9dusk=")</f>
        <v>#VALUE!</v>
      </c>
      <c r="GU23" t="e">
        <f>AND('Ark1'!B652,"AAAAAF9duso=")</f>
        <v>#VALUE!</v>
      </c>
      <c r="GV23" t="e">
        <f>AND('Ark1'!C652,"AAAAAF9duss=")</f>
        <v>#VALUE!</v>
      </c>
      <c r="GW23" t="e">
        <f>AND('Ark1'!D652,"AAAAAF9dusw=")</f>
        <v>#VALUE!</v>
      </c>
      <c r="GX23" t="e">
        <f>AND('Ark1'!E652,"AAAAAF9dus0=")</f>
        <v>#VALUE!</v>
      </c>
      <c r="GY23" t="e">
        <f>AND('Ark1'!F652,"AAAAAF9dus4=")</f>
        <v>#VALUE!</v>
      </c>
      <c r="GZ23" t="e">
        <f>AND('Ark1'!G652,"AAAAAF9dus8=")</f>
        <v>#VALUE!</v>
      </c>
      <c r="HA23" t="e">
        <f>AND('Ark1'!H652,"AAAAAF9dutA=")</f>
        <v>#VALUE!</v>
      </c>
      <c r="HB23">
        <f>IF('Ark1'!653:653,"AAAAAF9dutE=",0)</f>
        <v>0</v>
      </c>
      <c r="HC23" t="e">
        <f>AND('Ark1'!A653,"AAAAAF9dutI=")</f>
        <v>#VALUE!</v>
      </c>
      <c r="HD23" t="e">
        <f>AND('Ark1'!B653,"AAAAAF9dutM=")</f>
        <v>#VALUE!</v>
      </c>
      <c r="HE23" t="e">
        <f>AND('Ark1'!C653,"AAAAAF9dutQ=")</f>
        <v>#VALUE!</v>
      </c>
      <c r="HF23" t="e">
        <f>AND('Ark1'!D653,"AAAAAF9dutU=")</f>
        <v>#VALUE!</v>
      </c>
      <c r="HG23" t="e">
        <f>AND('Ark1'!E653,"AAAAAF9dutY=")</f>
        <v>#VALUE!</v>
      </c>
      <c r="HH23" t="e">
        <f>AND('Ark1'!F653,"AAAAAF9dutc=")</f>
        <v>#VALUE!</v>
      </c>
      <c r="HI23" t="e">
        <f>AND('Ark1'!G653,"AAAAAF9dutg=")</f>
        <v>#VALUE!</v>
      </c>
      <c r="HJ23" t="e">
        <f>AND('Ark1'!H653,"AAAAAF9dutk=")</f>
        <v>#VALUE!</v>
      </c>
      <c r="HK23">
        <f>IF('Ark1'!654:654,"AAAAAF9duto=",0)</f>
        <v>0</v>
      </c>
      <c r="HL23" t="e">
        <f>AND('Ark1'!A654,"AAAAAF9duts=")</f>
        <v>#VALUE!</v>
      </c>
      <c r="HM23" t="e">
        <f>AND('Ark1'!B654,"AAAAAF9dutw=")</f>
        <v>#VALUE!</v>
      </c>
      <c r="HN23" t="e">
        <f>AND('Ark1'!C654,"AAAAAF9dut0=")</f>
        <v>#VALUE!</v>
      </c>
      <c r="HO23" t="e">
        <f>AND('Ark1'!D654,"AAAAAF9dut4=")</f>
        <v>#VALUE!</v>
      </c>
      <c r="HP23" t="e">
        <f>AND('Ark1'!E654,"AAAAAF9dut8=")</f>
        <v>#VALUE!</v>
      </c>
      <c r="HQ23" t="e">
        <f>AND('Ark1'!F654,"AAAAAF9duuA=")</f>
        <v>#VALUE!</v>
      </c>
      <c r="HR23" t="e">
        <f>AND('Ark1'!G654,"AAAAAF9duuE=")</f>
        <v>#VALUE!</v>
      </c>
      <c r="HS23" t="e">
        <f>AND('Ark1'!H654,"AAAAAF9duuI=")</f>
        <v>#VALUE!</v>
      </c>
      <c r="HT23">
        <f>IF('Ark1'!655:655,"AAAAAF9duuM=",0)</f>
        <v>0</v>
      </c>
      <c r="HU23" t="e">
        <f>AND('Ark1'!A655,"AAAAAF9duuQ=")</f>
        <v>#VALUE!</v>
      </c>
      <c r="HV23" t="e">
        <f>AND('Ark1'!B655,"AAAAAF9duuU=")</f>
        <v>#VALUE!</v>
      </c>
      <c r="HW23" t="e">
        <f>AND('Ark1'!C655,"AAAAAF9duuY=")</f>
        <v>#VALUE!</v>
      </c>
      <c r="HX23" t="e">
        <f>AND('Ark1'!D655,"AAAAAF9duuc=")</f>
        <v>#VALUE!</v>
      </c>
      <c r="HY23" t="e">
        <f>AND('Ark1'!E655,"AAAAAF9duug=")</f>
        <v>#VALUE!</v>
      </c>
      <c r="HZ23" t="e">
        <f>AND('Ark1'!F655,"AAAAAF9duuk=")</f>
        <v>#VALUE!</v>
      </c>
      <c r="IA23" t="e">
        <f>AND('Ark1'!G655,"AAAAAF9duuo=")</f>
        <v>#VALUE!</v>
      </c>
      <c r="IB23" t="e">
        <f>AND('Ark1'!H655,"AAAAAF9duus=")</f>
        <v>#VALUE!</v>
      </c>
      <c r="IC23">
        <f>IF('Ark1'!656:656,"AAAAAF9duuw=",0)</f>
        <v>0</v>
      </c>
      <c r="ID23" t="e">
        <f>AND('Ark1'!A656,"AAAAAF9duu0=")</f>
        <v>#VALUE!</v>
      </c>
      <c r="IE23" t="e">
        <f>AND('Ark1'!B656,"AAAAAF9duu4=")</f>
        <v>#VALUE!</v>
      </c>
      <c r="IF23" t="e">
        <f>AND('Ark1'!C656,"AAAAAF9duu8=")</f>
        <v>#VALUE!</v>
      </c>
      <c r="IG23" t="e">
        <f>AND('Ark1'!D656,"AAAAAF9duvA=")</f>
        <v>#VALUE!</v>
      </c>
      <c r="IH23" t="e">
        <f>AND('Ark1'!E656,"AAAAAF9duvE=")</f>
        <v>#VALUE!</v>
      </c>
      <c r="II23" t="e">
        <f>AND('Ark1'!F656,"AAAAAF9duvI=")</f>
        <v>#VALUE!</v>
      </c>
      <c r="IJ23" t="e">
        <f>AND('Ark1'!G656,"AAAAAF9duvM=")</f>
        <v>#VALUE!</v>
      </c>
      <c r="IK23" t="e">
        <f>AND('Ark1'!H656,"AAAAAF9duvQ=")</f>
        <v>#VALUE!</v>
      </c>
      <c r="IL23">
        <f>IF('Ark1'!657:657,"AAAAAF9duvU=",0)</f>
        <v>0</v>
      </c>
      <c r="IM23" t="e">
        <f>AND('Ark1'!A657,"AAAAAF9duvY=")</f>
        <v>#VALUE!</v>
      </c>
      <c r="IN23" t="e">
        <f>AND('Ark1'!B657,"AAAAAF9duvc=")</f>
        <v>#VALUE!</v>
      </c>
      <c r="IO23" t="e">
        <f>AND('Ark1'!C657,"AAAAAF9duvg=")</f>
        <v>#VALUE!</v>
      </c>
      <c r="IP23" t="e">
        <f>AND('Ark1'!D657,"AAAAAF9duvk=")</f>
        <v>#VALUE!</v>
      </c>
      <c r="IQ23" t="e">
        <f>AND('Ark1'!E657,"AAAAAF9duvo=")</f>
        <v>#VALUE!</v>
      </c>
      <c r="IR23" t="e">
        <f>AND('Ark1'!F657,"AAAAAF9duvs=")</f>
        <v>#VALUE!</v>
      </c>
      <c r="IS23" t="e">
        <f>AND('Ark1'!G657,"AAAAAF9duvw=")</f>
        <v>#VALUE!</v>
      </c>
      <c r="IT23" t="e">
        <f>AND('Ark1'!H657,"AAAAAF9duv0=")</f>
        <v>#VALUE!</v>
      </c>
      <c r="IU23">
        <f>IF('Ark1'!658:658,"AAAAAF9duv4=",0)</f>
        <v>0</v>
      </c>
      <c r="IV23" t="e">
        <f>AND('Ark1'!A658,"AAAAAF9duv8=")</f>
        <v>#VALUE!</v>
      </c>
    </row>
    <row r="24" spans="1:256" x14ac:dyDescent="0.25">
      <c r="A24" t="e">
        <f>AND('Ark1'!B658,"AAAAAH1q5QA=")</f>
        <v>#VALUE!</v>
      </c>
      <c r="B24" t="e">
        <f>AND('Ark1'!C658,"AAAAAH1q5QE=")</f>
        <v>#VALUE!</v>
      </c>
      <c r="C24" t="e">
        <f>AND('Ark1'!D658,"AAAAAH1q5QI=")</f>
        <v>#VALUE!</v>
      </c>
      <c r="D24" t="e">
        <f>AND('Ark1'!E658,"AAAAAH1q5QM=")</f>
        <v>#VALUE!</v>
      </c>
      <c r="E24" t="e">
        <f>AND('Ark1'!F658,"AAAAAH1q5QQ=")</f>
        <v>#VALUE!</v>
      </c>
      <c r="F24" t="e">
        <f>AND('Ark1'!G658,"AAAAAH1q5QU=")</f>
        <v>#VALUE!</v>
      </c>
      <c r="G24" t="e">
        <f>AND('Ark1'!H658,"AAAAAH1q5QY=")</f>
        <v>#VALUE!</v>
      </c>
      <c r="H24">
        <f>IF('Ark1'!659:659,"AAAAAH1q5Qc=",0)</f>
        <v>0</v>
      </c>
      <c r="I24" t="e">
        <f>AND('Ark1'!A659,"AAAAAH1q5Qg=")</f>
        <v>#VALUE!</v>
      </c>
      <c r="J24" t="e">
        <f>AND('Ark1'!B659,"AAAAAH1q5Qk=")</f>
        <v>#VALUE!</v>
      </c>
      <c r="K24" t="e">
        <f>AND('Ark1'!C659,"AAAAAH1q5Qo=")</f>
        <v>#VALUE!</v>
      </c>
      <c r="L24" t="e">
        <f>AND('Ark1'!D659,"AAAAAH1q5Qs=")</f>
        <v>#VALUE!</v>
      </c>
      <c r="M24" t="e">
        <f>AND('Ark1'!E659,"AAAAAH1q5Qw=")</f>
        <v>#VALUE!</v>
      </c>
      <c r="N24" t="e">
        <f>AND('Ark1'!F659,"AAAAAH1q5Q0=")</f>
        <v>#VALUE!</v>
      </c>
      <c r="O24" t="e">
        <f>AND('Ark1'!G659,"AAAAAH1q5Q4=")</f>
        <v>#VALUE!</v>
      </c>
      <c r="P24" t="e">
        <f>AND('Ark1'!H659,"AAAAAH1q5Q8=")</f>
        <v>#VALUE!</v>
      </c>
      <c r="Q24">
        <f>IF('Ark1'!660:660,"AAAAAH1q5RA=",0)</f>
        <v>0</v>
      </c>
      <c r="R24" t="e">
        <f>AND('Ark1'!A660,"AAAAAH1q5RE=")</f>
        <v>#VALUE!</v>
      </c>
      <c r="S24" t="e">
        <f>AND('Ark1'!B660,"AAAAAH1q5RI=")</f>
        <v>#VALUE!</v>
      </c>
      <c r="T24" t="e">
        <f>AND('Ark1'!C660,"AAAAAH1q5RM=")</f>
        <v>#VALUE!</v>
      </c>
      <c r="U24" t="e">
        <f>AND('Ark1'!D660,"AAAAAH1q5RQ=")</f>
        <v>#VALUE!</v>
      </c>
      <c r="V24" t="e">
        <f>AND('Ark1'!E660,"AAAAAH1q5RU=")</f>
        <v>#VALUE!</v>
      </c>
      <c r="W24" t="e">
        <f>AND('Ark1'!F660,"AAAAAH1q5RY=")</f>
        <v>#VALUE!</v>
      </c>
      <c r="X24" t="e">
        <f>AND('Ark1'!G660,"AAAAAH1q5Rc=")</f>
        <v>#VALUE!</v>
      </c>
      <c r="Y24" t="e">
        <f>AND('Ark1'!H660,"AAAAAH1q5Rg=")</f>
        <v>#VALUE!</v>
      </c>
      <c r="Z24">
        <f>IF('Ark1'!661:661,"AAAAAH1q5Rk=",0)</f>
        <v>0</v>
      </c>
      <c r="AA24" t="e">
        <f>AND('Ark1'!A661,"AAAAAH1q5Ro=")</f>
        <v>#VALUE!</v>
      </c>
      <c r="AB24" t="e">
        <f>AND('Ark1'!B661,"AAAAAH1q5Rs=")</f>
        <v>#VALUE!</v>
      </c>
      <c r="AC24" t="e">
        <f>AND('Ark1'!C661,"AAAAAH1q5Rw=")</f>
        <v>#VALUE!</v>
      </c>
      <c r="AD24" t="e">
        <f>AND('Ark1'!D661,"AAAAAH1q5R0=")</f>
        <v>#VALUE!</v>
      </c>
      <c r="AE24" t="e">
        <f>AND('Ark1'!E661,"AAAAAH1q5R4=")</f>
        <v>#VALUE!</v>
      </c>
      <c r="AF24" t="e">
        <f>AND('Ark1'!F661,"AAAAAH1q5R8=")</f>
        <v>#VALUE!</v>
      </c>
      <c r="AG24" t="e">
        <f>AND('Ark1'!G661,"AAAAAH1q5SA=")</f>
        <v>#VALUE!</v>
      </c>
      <c r="AH24" t="e">
        <f>AND('Ark1'!H661,"AAAAAH1q5SE=")</f>
        <v>#VALUE!</v>
      </c>
      <c r="AI24">
        <f>IF('Ark1'!662:662,"AAAAAH1q5SI=",0)</f>
        <v>0</v>
      </c>
      <c r="AJ24" t="e">
        <f>AND('Ark1'!A662,"AAAAAH1q5SM=")</f>
        <v>#VALUE!</v>
      </c>
      <c r="AK24" t="e">
        <f>AND('Ark1'!B662,"AAAAAH1q5SQ=")</f>
        <v>#VALUE!</v>
      </c>
      <c r="AL24" t="e">
        <f>AND('Ark1'!C662,"AAAAAH1q5SU=")</f>
        <v>#VALUE!</v>
      </c>
      <c r="AM24" t="e">
        <f>AND('Ark1'!D662,"AAAAAH1q5SY=")</f>
        <v>#VALUE!</v>
      </c>
      <c r="AN24" t="e">
        <f>AND('Ark1'!E662,"AAAAAH1q5Sc=")</f>
        <v>#VALUE!</v>
      </c>
      <c r="AO24" t="e">
        <f>AND('Ark1'!F662,"AAAAAH1q5Sg=")</f>
        <v>#VALUE!</v>
      </c>
      <c r="AP24" t="e">
        <f>AND('Ark1'!G662,"AAAAAH1q5Sk=")</f>
        <v>#VALUE!</v>
      </c>
      <c r="AQ24" t="e">
        <f>AND('Ark1'!H662,"AAAAAH1q5So=")</f>
        <v>#VALUE!</v>
      </c>
      <c r="AR24">
        <f>IF('Ark1'!663:663,"AAAAAH1q5Ss=",0)</f>
        <v>0</v>
      </c>
      <c r="AS24" t="e">
        <f>AND('Ark1'!A663,"AAAAAH1q5Sw=")</f>
        <v>#VALUE!</v>
      </c>
      <c r="AT24" t="e">
        <f>AND('Ark1'!B663,"AAAAAH1q5S0=")</f>
        <v>#VALUE!</v>
      </c>
      <c r="AU24" t="e">
        <f>AND('Ark1'!C663,"AAAAAH1q5S4=")</f>
        <v>#VALUE!</v>
      </c>
      <c r="AV24" t="e">
        <f>AND('Ark1'!D663,"AAAAAH1q5S8=")</f>
        <v>#VALUE!</v>
      </c>
      <c r="AW24" t="e">
        <f>AND('Ark1'!E663,"AAAAAH1q5TA=")</f>
        <v>#VALUE!</v>
      </c>
      <c r="AX24" t="e">
        <f>AND('Ark1'!F663,"AAAAAH1q5TE=")</f>
        <v>#VALUE!</v>
      </c>
      <c r="AY24" t="e">
        <f>AND('Ark1'!G663,"AAAAAH1q5TI=")</f>
        <v>#VALUE!</v>
      </c>
      <c r="AZ24" t="e">
        <f>AND('Ark1'!H663,"AAAAAH1q5TM=")</f>
        <v>#VALUE!</v>
      </c>
      <c r="BA24">
        <f>IF('Ark1'!664:664,"AAAAAH1q5TQ=",0)</f>
        <v>0</v>
      </c>
      <c r="BB24" t="e">
        <f>AND('Ark1'!A664,"AAAAAH1q5TU=")</f>
        <v>#VALUE!</v>
      </c>
      <c r="BC24" t="e">
        <f>AND('Ark1'!B664,"AAAAAH1q5TY=")</f>
        <v>#VALUE!</v>
      </c>
      <c r="BD24" t="e">
        <f>AND('Ark1'!C664,"AAAAAH1q5Tc=")</f>
        <v>#VALUE!</v>
      </c>
      <c r="BE24" t="e">
        <f>AND('Ark1'!D664,"AAAAAH1q5Tg=")</f>
        <v>#VALUE!</v>
      </c>
      <c r="BF24" t="e">
        <f>AND('Ark1'!E664,"AAAAAH1q5Tk=")</f>
        <v>#VALUE!</v>
      </c>
      <c r="BG24" t="e">
        <f>AND('Ark1'!F664,"AAAAAH1q5To=")</f>
        <v>#VALUE!</v>
      </c>
      <c r="BH24" t="e">
        <f>AND('Ark1'!G664,"AAAAAH1q5Ts=")</f>
        <v>#VALUE!</v>
      </c>
      <c r="BI24" t="e">
        <f>AND('Ark1'!H664,"AAAAAH1q5Tw=")</f>
        <v>#VALUE!</v>
      </c>
      <c r="BJ24">
        <f>IF('Ark1'!665:665,"AAAAAH1q5T0=",0)</f>
        <v>0</v>
      </c>
      <c r="BK24" t="e">
        <f>AND('Ark1'!A665,"AAAAAH1q5T4=")</f>
        <v>#VALUE!</v>
      </c>
      <c r="BL24" t="e">
        <f>AND('Ark1'!B665,"AAAAAH1q5T8=")</f>
        <v>#VALUE!</v>
      </c>
      <c r="BM24" t="e">
        <f>AND('Ark1'!C665,"AAAAAH1q5UA=")</f>
        <v>#VALUE!</v>
      </c>
      <c r="BN24" t="e">
        <f>AND('Ark1'!D665,"AAAAAH1q5UE=")</f>
        <v>#VALUE!</v>
      </c>
      <c r="BO24" t="e">
        <f>AND('Ark1'!E665,"AAAAAH1q5UI=")</f>
        <v>#VALUE!</v>
      </c>
      <c r="BP24" t="e">
        <f>AND('Ark1'!F665,"AAAAAH1q5UM=")</f>
        <v>#VALUE!</v>
      </c>
      <c r="BQ24" t="e">
        <f>AND('Ark1'!G665,"AAAAAH1q5UQ=")</f>
        <v>#VALUE!</v>
      </c>
      <c r="BR24" t="e">
        <f>AND('Ark1'!H665,"AAAAAH1q5UU=")</f>
        <v>#VALUE!</v>
      </c>
      <c r="BS24">
        <f>IF('Ark1'!666:666,"AAAAAH1q5UY=",0)</f>
        <v>0</v>
      </c>
      <c r="BT24" t="e">
        <f>AND('Ark1'!A666,"AAAAAH1q5Uc=")</f>
        <v>#VALUE!</v>
      </c>
      <c r="BU24" t="e">
        <f>AND('Ark1'!B666,"AAAAAH1q5Ug=")</f>
        <v>#VALUE!</v>
      </c>
      <c r="BV24" t="e">
        <f>AND('Ark1'!C666,"AAAAAH1q5Uk=")</f>
        <v>#VALUE!</v>
      </c>
      <c r="BW24" t="e">
        <f>AND('Ark1'!D666,"AAAAAH1q5Uo=")</f>
        <v>#VALUE!</v>
      </c>
      <c r="BX24" t="e">
        <f>AND('Ark1'!E666,"AAAAAH1q5Us=")</f>
        <v>#VALUE!</v>
      </c>
      <c r="BY24" t="e">
        <f>AND('Ark1'!F666,"AAAAAH1q5Uw=")</f>
        <v>#VALUE!</v>
      </c>
      <c r="BZ24" t="e">
        <f>AND('Ark1'!G666,"AAAAAH1q5U0=")</f>
        <v>#VALUE!</v>
      </c>
      <c r="CA24" t="e">
        <f>AND('Ark1'!H666,"AAAAAH1q5U4=")</f>
        <v>#VALUE!</v>
      </c>
      <c r="CB24">
        <f>IF('Ark1'!667:667,"AAAAAH1q5U8=",0)</f>
        <v>0</v>
      </c>
      <c r="CC24" t="e">
        <f>AND('Ark1'!A667,"AAAAAH1q5VA=")</f>
        <v>#VALUE!</v>
      </c>
      <c r="CD24" t="e">
        <f>AND('Ark1'!B667,"AAAAAH1q5VE=")</f>
        <v>#VALUE!</v>
      </c>
      <c r="CE24" t="e">
        <f>AND('Ark1'!C667,"AAAAAH1q5VI=")</f>
        <v>#VALUE!</v>
      </c>
      <c r="CF24" t="e">
        <f>AND('Ark1'!D667,"AAAAAH1q5VM=")</f>
        <v>#VALUE!</v>
      </c>
      <c r="CG24" t="e">
        <f>AND('Ark1'!E667,"AAAAAH1q5VQ=")</f>
        <v>#VALUE!</v>
      </c>
      <c r="CH24" t="e">
        <f>AND('Ark1'!F667,"AAAAAH1q5VU=")</f>
        <v>#VALUE!</v>
      </c>
      <c r="CI24" t="e">
        <f>AND('Ark1'!G667,"AAAAAH1q5VY=")</f>
        <v>#VALUE!</v>
      </c>
      <c r="CJ24" t="e">
        <f>AND('Ark1'!H667,"AAAAAH1q5Vc=")</f>
        <v>#VALUE!</v>
      </c>
      <c r="CK24">
        <f>IF('Ark1'!668:668,"AAAAAH1q5Vg=",0)</f>
        <v>0</v>
      </c>
      <c r="CL24" t="e">
        <f>AND('Ark1'!A668,"AAAAAH1q5Vk=")</f>
        <v>#VALUE!</v>
      </c>
      <c r="CM24" t="e">
        <f>AND('Ark1'!B668,"AAAAAH1q5Vo=")</f>
        <v>#VALUE!</v>
      </c>
      <c r="CN24" t="e">
        <f>AND('Ark1'!C668,"AAAAAH1q5Vs=")</f>
        <v>#VALUE!</v>
      </c>
      <c r="CO24" t="e">
        <f>AND('Ark1'!D668,"AAAAAH1q5Vw=")</f>
        <v>#VALUE!</v>
      </c>
      <c r="CP24" t="e">
        <f>AND('Ark1'!E668,"AAAAAH1q5V0=")</f>
        <v>#VALUE!</v>
      </c>
      <c r="CQ24" t="e">
        <f>AND('Ark1'!F668,"AAAAAH1q5V4=")</f>
        <v>#VALUE!</v>
      </c>
      <c r="CR24" t="e">
        <f>AND('Ark1'!G668,"AAAAAH1q5V8=")</f>
        <v>#VALUE!</v>
      </c>
      <c r="CS24" t="e">
        <f>AND('Ark1'!H668,"AAAAAH1q5WA=")</f>
        <v>#VALUE!</v>
      </c>
      <c r="CT24">
        <f>IF('Ark1'!669:669,"AAAAAH1q5WE=",0)</f>
        <v>0</v>
      </c>
      <c r="CU24" t="e">
        <f>AND('Ark1'!A669,"AAAAAH1q5WI=")</f>
        <v>#VALUE!</v>
      </c>
      <c r="CV24" t="e">
        <f>AND('Ark1'!B669,"AAAAAH1q5WM=")</f>
        <v>#VALUE!</v>
      </c>
      <c r="CW24" t="e">
        <f>AND('Ark1'!C669,"AAAAAH1q5WQ=")</f>
        <v>#VALUE!</v>
      </c>
      <c r="CX24" t="e">
        <f>AND('Ark1'!D669,"AAAAAH1q5WU=")</f>
        <v>#VALUE!</v>
      </c>
      <c r="CY24" t="e">
        <f>AND('Ark1'!E669,"AAAAAH1q5WY=")</f>
        <v>#VALUE!</v>
      </c>
      <c r="CZ24" t="e">
        <f>AND('Ark1'!F669,"AAAAAH1q5Wc=")</f>
        <v>#VALUE!</v>
      </c>
      <c r="DA24" t="e">
        <f>AND('Ark1'!G669,"AAAAAH1q5Wg=")</f>
        <v>#VALUE!</v>
      </c>
      <c r="DB24" t="e">
        <f>AND('Ark1'!H669,"AAAAAH1q5Wk=")</f>
        <v>#VALUE!</v>
      </c>
      <c r="DC24">
        <f>IF('Ark1'!670:670,"AAAAAH1q5Wo=",0)</f>
        <v>0</v>
      </c>
      <c r="DD24" t="e">
        <f>AND('Ark1'!A670,"AAAAAH1q5Ws=")</f>
        <v>#VALUE!</v>
      </c>
      <c r="DE24" t="e">
        <f>AND('Ark1'!B670,"AAAAAH1q5Ww=")</f>
        <v>#VALUE!</v>
      </c>
      <c r="DF24" t="e">
        <f>AND('Ark1'!C670,"AAAAAH1q5W0=")</f>
        <v>#VALUE!</v>
      </c>
      <c r="DG24" t="e">
        <f>AND('Ark1'!D670,"AAAAAH1q5W4=")</f>
        <v>#VALUE!</v>
      </c>
      <c r="DH24" t="e">
        <f>AND('Ark1'!E670,"AAAAAH1q5W8=")</f>
        <v>#VALUE!</v>
      </c>
      <c r="DI24" t="e">
        <f>AND('Ark1'!F670,"AAAAAH1q5XA=")</f>
        <v>#VALUE!</v>
      </c>
      <c r="DJ24" t="e">
        <f>AND('Ark1'!G670,"AAAAAH1q5XE=")</f>
        <v>#VALUE!</v>
      </c>
      <c r="DK24" t="e">
        <f>AND('Ark1'!H670,"AAAAAH1q5XI=")</f>
        <v>#VALUE!</v>
      </c>
      <c r="DL24">
        <f>IF('Ark1'!671:671,"AAAAAH1q5XM=",0)</f>
        <v>0</v>
      </c>
      <c r="DM24" t="e">
        <f>AND('Ark1'!A671,"AAAAAH1q5XQ=")</f>
        <v>#VALUE!</v>
      </c>
      <c r="DN24" t="e">
        <f>AND('Ark1'!B671,"AAAAAH1q5XU=")</f>
        <v>#VALUE!</v>
      </c>
      <c r="DO24" t="e">
        <f>AND('Ark1'!C671,"AAAAAH1q5XY=")</f>
        <v>#VALUE!</v>
      </c>
      <c r="DP24" t="e">
        <f>AND('Ark1'!D671,"AAAAAH1q5Xc=")</f>
        <v>#VALUE!</v>
      </c>
      <c r="DQ24" t="e">
        <f>AND('Ark1'!E671,"AAAAAH1q5Xg=")</f>
        <v>#VALUE!</v>
      </c>
      <c r="DR24" t="e">
        <f>AND('Ark1'!F671,"AAAAAH1q5Xk=")</f>
        <v>#VALUE!</v>
      </c>
      <c r="DS24" t="e">
        <f>AND('Ark1'!G671,"AAAAAH1q5Xo=")</f>
        <v>#VALUE!</v>
      </c>
      <c r="DT24" t="e">
        <f>AND('Ark1'!H671,"AAAAAH1q5Xs=")</f>
        <v>#VALUE!</v>
      </c>
      <c r="DU24">
        <f>IF('Ark1'!672:672,"AAAAAH1q5Xw=",0)</f>
        <v>0</v>
      </c>
      <c r="DV24" t="e">
        <f>AND('Ark1'!A672,"AAAAAH1q5X0=")</f>
        <v>#VALUE!</v>
      </c>
      <c r="DW24" t="e">
        <f>AND('Ark1'!B672,"AAAAAH1q5X4=")</f>
        <v>#VALUE!</v>
      </c>
      <c r="DX24" t="e">
        <f>AND('Ark1'!C672,"AAAAAH1q5X8=")</f>
        <v>#VALUE!</v>
      </c>
      <c r="DY24" t="e">
        <f>AND('Ark1'!D672,"AAAAAH1q5YA=")</f>
        <v>#VALUE!</v>
      </c>
      <c r="DZ24" t="e">
        <f>AND('Ark1'!E672,"AAAAAH1q5YE=")</f>
        <v>#VALUE!</v>
      </c>
      <c r="EA24" t="e">
        <f>AND('Ark1'!F672,"AAAAAH1q5YI=")</f>
        <v>#VALUE!</v>
      </c>
      <c r="EB24" t="e">
        <f>AND('Ark1'!G672,"AAAAAH1q5YM=")</f>
        <v>#VALUE!</v>
      </c>
      <c r="EC24" t="e">
        <f>AND('Ark1'!H672,"AAAAAH1q5YQ=")</f>
        <v>#VALUE!</v>
      </c>
      <c r="ED24">
        <f>IF('Ark1'!673:673,"AAAAAH1q5YU=",0)</f>
        <v>0</v>
      </c>
      <c r="EE24" t="e">
        <f>AND('Ark1'!A673,"AAAAAH1q5YY=")</f>
        <v>#VALUE!</v>
      </c>
      <c r="EF24" t="e">
        <f>AND('Ark1'!B673,"AAAAAH1q5Yc=")</f>
        <v>#VALUE!</v>
      </c>
      <c r="EG24" t="e">
        <f>AND('Ark1'!C673,"AAAAAH1q5Yg=")</f>
        <v>#VALUE!</v>
      </c>
      <c r="EH24" t="e">
        <f>AND('Ark1'!D673,"AAAAAH1q5Yk=")</f>
        <v>#VALUE!</v>
      </c>
      <c r="EI24" t="e">
        <f>AND('Ark1'!E673,"AAAAAH1q5Yo=")</f>
        <v>#VALUE!</v>
      </c>
      <c r="EJ24" t="e">
        <f>AND('Ark1'!F673,"AAAAAH1q5Ys=")</f>
        <v>#VALUE!</v>
      </c>
      <c r="EK24" t="e">
        <f>AND('Ark1'!G673,"AAAAAH1q5Yw=")</f>
        <v>#VALUE!</v>
      </c>
      <c r="EL24" t="e">
        <f>AND('Ark1'!H673,"AAAAAH1q5Y0=")</f>
        <v>#VALUE!</v>
      </c>
      <c r="EM24">
        <f>IF('Ark1'!674:674,"AAAAAH1q5Y4=",0)</f>
        <v>0</v>
      </c>
      <c r="EN24" t="e">
        <f>AND('Ark1'!A674,"AAAAAH1q5Y8=")</f>
        <v>#VALUE!</v>
      </c>
      <c r="EO24" t="e">
        <f>AND('Ark1'!B674,"AAAAAH1q5ZA=")</f>
        <v>#VALUE!</v>
      </c>
      <c r="EP24" t="e">
        <f>AND('Ark1'!C674,"AAAAAH1q5ZE=")</f>
        <v>#VALUE!</v>
      </c>
      <c r="EQ24" t="e">
        <f>AND('Ark1'!D674,"AAAAAH1q5ZI=")</f>
        <v>#VALUE!</v>
      </c>
      <c r="ER24" t="e">
        <f>AND('Ark1'!E674,"AAAAAH1q5ZM=")</f>
        <v>#VALUE!</v>
      </c>
      <c r="ES24" t="e">
        <f>AND('Ark1'!F674,"AAAAAH1q5ZQ=")</f>
        <v>#VALUE!</v>
      </c>
      <c r="ET24" t="e">
        <f>AND('Ark1'!G674,"AAAAAH1q5ZU=")</f>
        <v>#VALUE!</v>
      </c>
      <c r="EU24" t="e">
        <f>AND('Ark1'!H674,"AAAAAH1q5ZY=")</f>
        <v>#VALUE!</v>
      </c>
      <c r="EV24">
        <f>IF('Ark1'!675:675,"AAAAAH1q5Zc=",0)</f>
        <v>0</v>
      </c>
      <c r="EW24" t="e">
        <f>AND('Ark1'!A675,"AAAAAH1q5Zg=")</f>
        <v>#VALUE!</v>
      </c>
      <c r="EX24" t="e">
        <f>AND('Ark1'!B675,"AAAAAH1q5Zk=")</f>
        <v>#VALUE!</v>
      </c>
      <c r="EY24" t="e">
        <f>AND('Ark1'!C675,"AAAAAH1q5Zo=")</f>
        <v>#VALUE!</v>
      </c>
      <c r="EZ24" t="e">
        <f>AND('Ark1'!D675,"AAAAAH1q5Zs=")</f>
        <v>#VALUE!</v>
      </c>
      <c r="FA24" t="e">
        <f>AND('Ark1'!E675,"AAAAAH1q5Zw=")</f>
        <v>#VALUE!</v>
      </c>
      <c r="FB24" t="e">
        <f>AND('Ark1'!F675,"AAAAAH1q5Z0=")</f>
        <v>#VALUE!</v>
      </c>
      <c r="FC24" t="e">
        <f>AND('Ark1'!G675,"AAAAAH1q5Z4=")</f>
        <v>#VALUE!</v>
      </c>
      <c r="FD24" t="e">
        <f>AND('Ark1'!H675,"AAAAAH1q5Z8=")</f>
        <v>#VALUE!</v>
      </c>
      <c r="FE24">
        <f>IF('Ark1'!676:676,"AAAAAH1q5aA=",0)</f>
        <v>0</v>
      </c>
      <c r="FF24" t="e">
        <f>AND('Ark1'!A676,"AAAAAH1q5aE=")</f>
        <v>#VALUE!</v>
      </c>
      <c r="FG24" t="e">
        <f>AND('Ark1'!B676,"AAAAAH1q5aI=")</f>
        <v>#VALUE!</v>
      </c>
      <c r="FH24" t="e">
        <f>AND('Ark1'!C676,"AAAAAH1q5aM=")</f>
        <v>#VALUE!</v>
      </c>
      <c r="FI24" t="e">
        <f>AND('Ark1'!D676,"AAAAAH1q5aQ=")</f>
        <v>#VALUE!</v>
      </c>
      <c r="FJ24" t="e">
        <f>AND('Ark1'!E676,"AAAAAH1q5aU=")</f>
        <v>#VALUE!</v>
      </c>
      <c r="FK24" t="e">
        <f>AND('Ark1'!F676,"AAAAAH1q5aY=")</f>
        <v>#VALUE!</v>
      </c>
      <c r="FL24" t="e">
        <f>AND('Ark1'!G676,"AAAAAH1q5ac=")</f>
        <v>#VALUE!</v>
      </c>
      <c r="FM24" t="e">
        <f>AND('Ark1'!H676,"AAAAAH1q5ag=")</f>
        <v>#VALUE!</v>
      </c>
      <c r="FN24">
        <f>IF('Ark1'!677:677,"AAAAAH1q5ak=",0)</f>
        <v>0</v>
      </c>
      <c r="FO24" t="e">
        <f>AND('Ark1'!A677,"AAAAAH1q5ao=")</f>
        <v>#VALUE!</v>
      </c>
      <c r="FP24" t="e">
        <f>AND('Ark1'!B677,"AAAAAH1q5as=")</f>
        <v>#VALUE!</v>
      </c>
      <c r="FQ24" t="e">
        <f>AND('Ark1'!C677,"AAAAAH1q5aw=")</f>
        <v>#VALUE!</v>
      </c>
      <c r="FR24" t="e">
        <f>AND('Ark1'!D677,"AAAAAH1q5a0=")</f>
        <v>#VALUE!</v>
      </c>
      <c r="FS24" t="e">
        <f>AND('Ark1'!E677,"AAAAAH1q5a4=")</f>
        <v>#VALUE!</v>
      </c>
      <c r="FT24" t="e">
        <f>AND('Ark1'!F677,"AAAAAH1q5a8=")</f>
        <v>#VALUE!</v>
      </c>
      <c r="FU24" t="e">
        <f>AND('Ark1'!G677,"AAAAAH1q5bA=")</f>
        <v>#VALUE!</v>
      </c>
      <c r="FV24" t="e">
        <f>AND('Ark1'!H677,"AAAAAH1q5bE=")</f>
        <v>#VALUE!</v>
      </c>
      <c r="FW24">
        <f>IF('Ark1'!678:678,"AAAAAH1q5bI=",0)</f>
        <v>0</v>
      </c>
      <c r="FX24" t="e">
        <f>AND('Ark1'!A678,"AAAAAH1q5bM=")</f>
        <v>#VALUE!</v>
      </c>
      <c r="FY24" t="e">
        <f>AND('Ark1'!B678,"AAAAAH1q5bQ=")</f>
        <v>#VALUE!</v>
      </c>
      <c r="FZ24" t="e">
        <f>AND('Ark1'!C678,"AAAAAH1q5bU=")</f>
        <v>#VALUE!</v>
      </c>
      <c r="GA24" t="e">
        <f>AND('Ark1'!D678,"AAAAAH1q5bY=")</f>
        <v>#VALUE!</v>
      </c>
      <c r="GB24" t="e">
        <f>AND('Ark1'!E678,"AAAAAH1q5bc=")</f>
        <v>#VALUE!</v>
      </c>
      <c r="GC24" t="e">
        <f>AND('Ark1'!F678,"AAAAAH1q5bg=")</f>
        <v>#VALUE!</v>
      </c>
      <c r="GD24" t="e">
        <f>AND('Ark1'!G678,"AAAAAH1q5bk=")</f>
        <v>#VALUE!</v>
      </c>
      <c r="GE24" t="e">
        <f>AND('Ark1'!H678,"AAAAAH1q5bo=")</f>
        <v>#VALUE!</v>
      </c>
      <c r="GF24">
        <f>IF('Ark1'!679:679,"AAAAAH1q5bs=",0)</f>
        <v>0</v>
      </c>
      <c r="GG24" t="e">
        <f>AND('Ark1'!A679,"AAAAAH1q5bw=")</f>
        <v>#VALUE!</v>
      </c>
      <c r="GH24" t="e">
        <f>AND('Ark1'!B679,"AAAAAH1q5b0=")</f>
        <v>#VALUE!</v>
      </c>
      <c r="GI24" t="e">
        <f>AND('Ark1'!C679,"AAAAAH1q5b4=")</f>
        <v>#VALUE!</v>
      </c>
      <c r="GJ24" t="e">
        <f>AND('Ark1'!D679,"AAAAAH1q5b8=")</f>
        <v>#VALUE!</v>
      </c>
      <c r="GK24" t="e">
        <f>AND('Ark1'!E679,"AAAAAH1q5cA=")</f>
        <v>#VALUE!</v>
      </c>
      <c r="GL24" t="e">
        <f>AND('Ark1'!F679,"AAAAAH1q5cE=")</f>
        <v>#VALUE!</v>
      </c>
      <c r="GM24" t="e">
        <f>AND('Ark1'!G679,"AAAAAH1q5cI=")</f>
        <v>#VALUE!</v>
      </c>
      <c r="GN24" t="e">
        <f>AND('Ark1'!H679,"AAAAAH1q5cM=")</f>
        <v>#VALUE!</v>
      </c>
      <c r="GO24">
        <f>IF('Ark1'!680:680,"AAAAAH1q5cQ=",0)</f>
        <v>0</v>
      </c>
      <c r="GP24" t="e">
        <f>AND('Ark1'!A680,"AAAAAH1q5cU=")</f>
        <v>#VALUE!</v>
      </c>
      <c r="GQ24" t="e">
        <f>AND('Ark1'!B680,"AAAAAH1q5cY=")</f>
        <v>#VALUE!</v>
      </c>
      <c r="GR24" t="e">
        <f>AND('Ark1'!C680,"AAAAAH1q5cc=")</f>
        <v>#VALUE!</v>
      </c>
      <c r="GS24" t="e">
        <f>AND('Ark1'!D680,"AAAAAH1q5cg=")</f>
        <v>#VALUE!</v>
      </c>
      <c r="GT24" t="e">
        <f>AND('Ark1'!E680,"AAAAAH1q5ck=")</f>
        <v>#VALUE!</v>
      </c>
      <c r="GU24" t="e">
        <f>AND('Ark1'!F680,"AAAAAH1q5co=")</f>
        <v>#VALUE!</v>
      </c>
      <c r="GV24" t="e">
        <f>AND('Ark1'!G680,"AAAAAH1q5cs=")</f>
        <v>#VALUE!</v>
      </c>
      <c r="GW24" t="e">
        <f>AND('Ark1'!H680,"AAAAAH1q5cw=")</f>
        <v>#VALUE!</v>
      </c>
      <c r="GX24">
        <f>IF('Ark1'!681:681,"AAAAAH1q5c0=",0)</f>
        <v>0</v>
      </c>
      <c r="GY24" t="e">
        <f>AND('Ark1'!A681,"AAAAAH1q5c4=")</f>
        <v>#VALUE!</v>
      </c>
      <c r="GZ24" t="e">
        <f>AND('Ark1'!B681,"AAAAAH1q5c8=")</f>
        <v>#VALUE!</v>
      </c>
      <c r="HA24" t="e">
        <f>AND('Ark1'!C681,"AAAAAH1q5dA=")</f>
        <v>#VALUE!</v>
      </c>
      <c r="HB24" t="e">
        <f>AND('Ark1'!D681,"AAAAAH1q5dE=")</f>
        <v>#VALUE!</v>
      </c>
      <c r="HC24" t="e">
        <f>AND('Ark1'!E681,"AAAAAH1q5dI=")</f>
        <v>#VALUE!</v>
      </c>
      <c r="HD24" t="e">
        <f>AND('Ark1'!F681,"AAAAAH1q5dM=")</f>
        <v>#VALUE!</v>
      </c>
      <c r="HE24" t="e">
        <f>AND('Ark1'!G681,"AAAAAH1q5dQ=")</f>
        <v>#VALUE!</v>
      </c>
      <c r="HF24" t="e">
        <f>AND('Ark1'!H681,"AAAAAH1q5dU=")</f>
        <v>#VALUE!</v>
      </c>
      <c r="HG24">
        <f>IF('Ark1'!682:682,"AAAAAH1q5dY=",0)</f>
        <v>0</v>
      </c>
      <c r="HH24" t="e">
        <f>AND('Ark1'!A682,"AAAAAH1q5dc=")</f>
        <v>#VALUE!</v>
      </c>
      <c r="HI24" t="e">
        <f>AND('Ark1'!B682,"AAAAAH1q5dg=")</f>
        <v>#VALUE!</v>
      </c>
      <c r="HJ24" t="e">
        <f>AND('Ark1'!C682,"AAAAAH1q5dk=")</f>
        <v>#VALUE!</v>
      </c>
      <c r="HK24" t="e">
        <f>AND('Ark1'!D682,"AAAAAH1q5do=")</f>
        <v>#VALUE!</v>
      </c>
      <c r="HL24" t="e">
        <f>AND('Ark1'!E682,"AAAAAH1q5ds=")</f>
        <v>#VALUE!</v>
      </c>
      <c r="HM24" t="e">
        <f>AND('Ark1'!F682,"AAAAAH1q5dw=")</f>
        <v>#VALUE!</v>
      </c>
      <c r="HN24" t="e">
        <f>AND('Ark1'!G682,"AAAAAH1q5d0=")</f>
        <v>#VALUE!</v>
      </c>
      <c r="HO24" t="e">
        <f>AND('Ark1'!H682,"AAAAAH1q5d4=")</f>
        <v>#VALUE!</v>
      </c>
      <c r="HP24">
        <f>IF('Ark1'!683:683,"AAAAAH1q5d8=",0)</f>
        <v>0</v>
      </c>
      <c r="HQ24" t="e">
        <f>AND('Ark1'!A683,"AAAAAH1q5eA=")</f>
        <v>#VALUE!</v>
      </c>
      <c r="HR24" t="e">
        <f>AND('Ark1'!B683,"AAAAAH1q5eE=")</f>
        <v>#VALUE!</v>
      </c>
      <c r="HS24" t="e">
        <f>AND('Ark1'!C683,"AAAAAH1q5eI=")</f>
        <v>#VALUE!</v>
      </c>
      <c r="HT24" t="e">
        <f>AND('Ark1'!D683,"AAAAAH1q5eM=")</f>
        <v>#VALUE!</v>
      </c>
      <c r="HU24" t="e">
        <f>AND('Ark1'!E683,"AAAAAH1q5eQ=")</f>
        <v>#VALUE!</v>
      </c>
      <c r="HV24" t="e">
        <f>AND('Ark1'!F683,"AAAAAH1q5eU=")</f>
        <v>#VALUE!</v>
      </c>
      <c r="HW24" t="e">
        <f>AND('Ark1'!G683,"AAAAAH1q5eY=")</f>
        <v>#VALUE!</v>
      </c>
      <c r="HX24" t="e">
        <f>AND('Ark1'!H683,"AAAAAH1q5ec=")</f>
        <v>#VALUE!</v>
      </c>
      <c r="HY24">
        <f>IF('Ark1'!684:684,"AAAAAH1q5eg=",0)</f>
        <v>0</v>
      </c>
      <c r="HZ24" t="e">
        <f>AND('Ark1'!A684,"AAAAAH1q5ek=")</f>
        <v>#VALUE!</v>
      </c>
      <c r="IA24" t="e">
        <f>AND('Ark1'!B684,"AAAAAH1q5eo=")</f>
        <v>#VALUE!</v>
      </c>
      <c r="IB24" t="e">
        <f>AND('Ark1'!C684,"AAAAAH1q5es=")</f>
        <v>#VALUE!</v>
      </c>
      <c r="IC24" t="e">
        <f>AND('Ark1'!D684,"AAAAAH1q5ew=")</f>
        <v>#VALUE!</v>
      </c>
      <c r="ID24" t="e">
        <f>AND('Ark1'!E684,"AAAAAH1q5e0=")</f>
        <v>#VALUE!</v>
      </c>
      <c r="IE24" t="e">
        <f>AND('Ark1'!F684,"AAAAAH1q5e4=")</f>
        <v>#VALUE!</v>
      </c>
      <c r="IF24" t="e">
        <f>AND('Ark1'!G684,"AAAAAH1q5e8=")</f>
        <v>#VALUE!</v>
      </c>
      <c r="IG24" t="e">
        <f>AND('Ark1'!H684,"AAAAAH1q5fA=")</f>
        <v>#VALUE!</v>
      </c>
      <c r="IH24">
        <f>IF('Ark1'!685:685,"AAAAAH1q5fE=",0)</f>
        <v>0</v>
      </c>
      <c r="II24" t="e">
        <f>AND('Ark1'!A685,"AAAAAH1q5fI=")</f>
        <v>#VALUE!</v>
      </c>
      <c r="IJ24" t="e">
        <f>AND('Ark1'!B685,"AAAAAH1q5fM=")</f>
        <v>#VALUE!</v>
      </c>
      <c r="IK24" t="e">
        <f>AND('Ark1'!C685,"AAAAAH1q5fQ=")</f>
        <v>#VALUE!</v>
      </c>
      <c r="IL24" t="e">
        <f>AND('Ark1'!D685,"AAAAAH1q5fU=")</f>
        <v>#VALUE!</v>
      </c>
      <c r="IM24" t="e">
        <f>AND('Ark1'!E685,"AAAAAH1q5fY=")</f>
        <v>#VALUE!</v>
      </c>
      <c r="IN24" t="e">
        <f>AND('Ark1'!F685,"AAAAAH1q5fc=")</f>
        <v>#VALUE!</v>
      </c>
      <c r="IO24" t="e">
        <f>AND('Ark1'!G685,"AAAAAH1q5fg=")</f>
        <v>#VALUE!</v>
      </c>
      <c r="IP24" t="e">
        <f>AND('Ark1'!H685,"AAAAAH1q5fk=")</f>
        <v>#VALUE!</v>
      </c>
      <c r="IQ24">
        <f>IF('Ark1'!686:686,"AAAAAH1q5fo=",0)</f>
        <v>0</v>
      </c>
      <c r="IR24" t="e">
        <f>AND('Ark1'!A686,"AAAAAH1q5fs=")</f>
        <v>#VALUE!</v>
      </c>
      <c r="IS24" t="e">
        <f>AND('Ark1'!B686,"AAAAAH1q5fw=")</f>
        <v>#VALUE!</v>
      </c>
      <c r="IT24" t="e">
        <f>AND('Ark1'!C686,"AAAAAH1q5f0=")</f>
        <v>#VALUE!</v>
      </c>
      <c r="IU24" t="e">
        <f>AND('Ark1'!D686,"AAAAAH1q5f4=")</f>
        <v>#VALUE!</v>
      </c>
      <c r="IV24" t="e">
        <f>AND('Ark1'!E686,"AAAAAH1q5f8=")</f>
        <v>#VALUE!</v>
      </c>
    </row>
    <row r="25" spans="1:256" x14ac:dyDescent="0.25">
      <c r="A25" t="e">
        <f>AND('Ark1'!F686,"AAAAAGbXvgA=")</f>
        <v>#VALUE!</v>
      </c>
      <c r="B25" t="e">
        <f>AND('Ark1'!G686,"AAAAAGbXvgE=")</f>
        <v>#VALUE!</v>
      </c>
      <c r="C25" t="e">
        <f>AND('Ark1'!H686,"AAAAAGbXvgI=")</f>
        <v>#VALUE!</v>
      </c>
      <c r="D25">
        <f>IF('Ark1'!687:687,"AAAAAGbXvgM=",0)</f>
        <v>0</v>
      </c>
      <c r="E25" t="e">
        <f>AND('Ark1'!A687,"AAAAAGbXvgQ=")</f>
        <v>#VALUE!</v>
      </c>
      <c r="F25" t="e">
        <f>AND('Ark1'!B687,"AAAAAGbXvgU=")</f>
        <v>#VALUE!</v>
      </c>
      <c r="G25" t="e">
        <f>AND('Ark1'!C687,"AAAAAGbXvgY=")</f>
        <v>#VALUE!</v>
      </c>
      <c r="H25" t="e">
        <f>AND('Ark1'!D687,"AAAAAGbXvgc=")</f>
        <v>#VALUE!</v>
      </c>
      <c r="I25" t="e">
        <f>AND('Ark1'!E687,"AAAAAGbXvgg=")</f>
        <v>#VALUE!</v>
      </c>
      <c r="J25" t="e">
        <f>AND('Ark1'!F687,"AAAAAGbXvgk=")</f>
        <v>#VALUE!</v>
      </c>
      <c r="K25" t="e">
        <f>AND('Ark1'!G687,"AAAAAGbXvgo=")</f>
        <v>#VALUE!</v>
      </c>
      <c r="L25" t="e">
        <f>AND('Ark1'!H687,"AAAAAGbXvgs=")</f>
        <v>#VALUE!</v>
      </c>
      <c r="M25">
        <f>IF('Ark1'!688:688,"AAAAAGbXvgw=",0)</f>
        <v>0</v>
      </c>
      <c r="N25" t="e">
        <f>AND('Ark1'!A688,"AAAAAGbXvg0=")</f>
        <v>#VALUE!</v>
      </c>
      <c r="O25" t="e">
        <f>AND('Ark1'!B688,"AAAAAGbXvg4=")</f>
        <v>#VALUE!</v>
      </c>
      <c r="P25" t="e">
        <f>AND('Ark1'!C688,"AAAAAGbXvg8=")</f>
        <v>#VALUE!</v>
      </c>
      <c r="Q25" t="e">
        <f>AND('Ark1'!D688,"AAAAAGbXvhA=")</f>
        <v>#VALUE!</v>
      </c>
      <c r="R25" t="e">
        <f>AND('Ark1'!E688,"AAAAAGbXvhE=")</f>
        <v>#VALUE!</v>
      </c>
      <c r="S25" t="e">
        <f>AND('Ark1'!F688,"AAAAAGbXvhI=")</f>
        <v>#VALUE!</v>
      </c>
      <c r="T25" t="e">
        <f>AND('Ark1'!G688,"AAAAAGbXvhM=")</f>
        <v>#VALUE!</v>
      </c>
      <c r="U25" t="e">
        <f>AND('Ark1'!H688,"AAAAAGbXvhQ=")</f>
        <v>#VALUE!</v>
      </c>
      <c r="V25">
        <f>IF('Ark1'!689:689,"AAAAAGbXvhU=",0)</f>
        <v>0</v>
      </c>
      <c r="W25" t="e">
        <f>AND('Ark1'!A689,"AAAAAGbXvhY=")</f>
        <v>#VALUE!</v>
      </c>
      <c r="X25" t="e">
        <f>AND('Ark1'!B689,"AAAAAGbXvhc=")</f>
        <v>#VALUE!</v>
      </c>
      <c r="Y25" t="e">
        <f>AND('Ark1'!C689,"AAAAAGbXvhg=")</f>
        <v>#VALUE!</v>
      </c>
      <c r="Z25" t="e">
        <f>AND('Ark1'!D689,"AAAAAGbXvhk=")</f>
        <v>#VALUE!</v>
      </c>
      <c r="AA25" t="e">
        <f>AND('Ark1'!E689,"AAAAAGbXvho=")</f>
        <v>#VALUE!</v>
      </c>
      <c r="AB25" t="e">
        <f>AND('Ark1'!F689,"AAAAAGbXvhs=")</f>
        <v>#VALUE!</v>
      </c>
      <c r="AC25" t="e">
        <f>AND('Ark1'!G689,"AAAAAGbXvhw=")</f>
        <v>#VALUE!</v>
      </c>
      <c r="AD25" t="e">
        <f>AND('Ark1'!H689,"AAAAAGbXvh0=")</f>
        <v>#VALUE!</v>
      </c>
      <c r="AE25">
        <f>IF('Ark1'!690:690,"AAAAAGbXvh4=",0)</f>
        <v>0</v>
      </c>
      <c r="AF25" t="e">
        <f>AND('Ark1'!A690,"AAAAAGbXvh8=")</f>
        <v>#VALUE!</v>
      </c>
      <c r="AG25" t="e">
        <f>AND('Ark1'!B690,"AAAAAGbXviA=")</f>
        <v>#VALUE!</v>
      </c>
      <c r="AH25" t="e">
        <f>AND('Ark1'!C690,"AAAAAGbXviE=")</f>
        <v>#VALUE!</v>
      </c>
      <c r="AI25" t="e">
        <f>AND('Ark1'!D690,"AAAAAGbXviI=")</f>
        <v>#VALUE!</v>
      </c>
      <c r="AJ25" t="e">
        <f>AND('Ark1'!E690,"AAAAAGbXviM=")</f>
        <v>#VALUE!</v>
      </c>
      <c r="AK25" t="e">
        <f>AND('Ark1'!F690,"AAAAAGbXviQ=")</f>
        <v>#VALUE!</v>
      </c>
      <c r="AL25" t="e">
        <f>AND('Ark1'!G690,"AAAAAGbXviU=")</f>
        <v>#VALUE!</v>
      </c>
      <c r="AM25" t="e">
        <f>AND('Ark1'!H690,"AAAAAGbXviY=")</f>
        <v>#VALUE!</v>
      </c>
      <c r="AN25">
        <f>IF('Ark1'!691:691,"AAAAAGbXvic=",0)</f>
        <v>0</v>
      </c>
      <c r="AO25" t="e">
        <f>AND('Ark1'!A691,"AAAAAGbXvig=")</f>
        <v>#VALUE!</v>
      </c>
      <c r="AP25" t="e">
        <f>AND('Ark1'!B691,"AAAAAGbXvik=")</f>
        <v>#VALUE!</v>
      </c>
      <c r="AQ25" t="e">
        <f>AND('Ark1'!C691,"AAAAAGbXvio=")</f>
        <v>#VALUE!</v>
      </c>
      <c r="AR25" t="e">
        <f>AND('Ark1'!D691,"AAAAAGbXvis=")</f>
        <v>#VALUE!</v>
      </c>
      <c r="AS25" t="e">
        <f>AND('Ark1'!E691,"AAAAAGbXviw=")</f>
        <v>#VALUE!</v>
      </c>
      <c r="AT25" t="e">
        <f>AND('Ark1'!F691,"AAAAAGbXvi0=")</f>
        <v>#VALUE!</v>
      </c>
      <c r="AU25" t="e">
        <f>AND('Ark1'!G691,"AAAAAGbXvi4=")</f>
        <v>#VALUE!</v>
      </c>
      <c r="AV25" t="e">
        <f>AND('Ark1'!H691,"AAAAAGbXvi8=")</f>
        <v>#VALUE!</v>
      </c>
      <c r="AW25">
        <f>IF('Ark1'!692:692,"AAAAAGbXvjA=",0)</f>
        <v>0</v>
      </c>
      <c r="AX25" t="e">
        <f>AND('Ark1'!A692,"AAAAAGbXvjE=")</f>
        <v>#VALUE!</v>
      </c>
      <c r="AY25" t="e">
        <f>AND('Ark1'!B692,"AAAAAGbXvjI=")</f>
        <v>#VALUE!</v>
      </c>
      <c r="AZ25" t="e">
        <f>AND('Ark1'!C692,"AAAAAGbXvjM=")</f>
        <v>#VALUE!</v>
      </c>
      <c r="BA25" t="e">
        <f>AND('Ark1'!D692,"AAAAAGbXvjQ=")</f>
        <v>#VALUE!</v>
      </c>
      <c r="BB25" t="e">
        <f>AND('Ark1'!E692,"AAAAAGbXvjU=")</f>
        <v>#VALUE!</v>
      </c>
      <c r="BC25" t="e">
        <f>AND('Ark1'!F692,"AAAAAGbXvjY=")</f>
        <v>#VALUE!</v>
      </c>
      <c r="BD25" t="e">
        <f>AND('Ark1'!G692,"AAAAAGbXvjc=")</f>
        <v>#VALUE!</v>
      </c>
      <c r="BE25" t="e">
        <f>AND('Ark1'!H692,"AAAAAGbXvjg=")</f>
        <v>#VALUE!</v>
      </c>
      <c r="BF25">
        <f>IF('Ark1'!693:693,"AAAAAGbXvjk=",0)</f>
        <v>0</v>
      </c>
      <c r="BG25" t="e">
        <f>AND('Ark1'!A693,"AAAAAGbXvjo=")</f>
        <v>#VALUE!</v>
      </c>
      <c r="BH25" t="e">
        <f>AND('Ark1'!B693,"AAAAAGbXvjs=")</f>
        <v>#VALUE!</v>
      </c>
      <c r="BI25" t="e">
        <f>AND('Ark1'!C693,"AAAAAGbXvjw=")</f>
        <v>#VALUE!</v>
      </c>
      <c r="BJ25" t="e">
        <f>AND('Ark1'!D693,"AAAAAGbXvj0=")</f>
        <v>#VALUE!</v>
      </c>
      <c r="BK25" t="e">
        <f>AND('Ark1'!E693,"AAAAAGbXvj4=")</f>
        <v>#VALUE!</v>
      </c>
      <c r="BL25" t="e">
        <f>AND('Ark1'!F693,"AAAAAGbXvj8=")</f>
        <v>#VALUE!</v>
      </c>
      <c r="BM25" t="e">
        <f>AND('Ark1'!G693,"AAAAAGbXvkA=")</f>
        <v>#VALUE!</v>
      </c>
      <c r="BN25" t="e">
        <f>AND('Ark1'!H693,"AAAAAGbXvkE=")</f>
        <v>#VALUE!</v>
      </c>
      <c r="BO25">
        <f>IF('Ark1'!694:694,"AAAAAGbXvkI=",0)</f>
        <v>0</v>
      </c>
      <c r="BP25" t="e">
        <f>AND('Ark1'!A694,"AAAAAGbXvkM=")</f>
        <v>#VALUE!</v>
      </c>
      <c r="BQ25" t="e">
        <f>AND('Ark1'!B694,"AAAAAGbXvkQ=")</f>
        <v>#VALUE!</v>
      </c>
      <c r="BR25" t="e">
        <f>AND('Ark1'!C694,"AAAAAGbXvkU=")</f>
        <v>#VALUE!</v>
      </c>
      <c r="BS25" t="e">
        <f>AND('Ark1'!D694,"AAAAAGbXvkY=")</f>
        <v>#VALUE!</v>
      </c>
      <c r="BT25" t="e">
        <f>AND('Ark1'!E694,"AAAAAGbXvkc=")</f>
        <v>#VALUE!</v>
      </c>
      <c r="BU25" t="e">
        <f>AND('Ark1'!F694,"AAAAAGbXvkg=")</f>
        <v>#VALUE!</v>
      </c>
      <c r="BV25" t="e">
        <f>AND('Ark1'!G694,"AAAAAGbXvkk=")</f>
        <v>#VALUE!</v>
      </c>
      <c r="BW25" t="e">
        <f>AND('Ark1'!H694,"AAAAAGbXvko=")</f>
        <v>#VALUE!</v>
      </c>
      <c r="BX25">
        <f>IF('Ark1'!695:695,"AAAAAGbXvks=",0)</f>
        <v>0</v>
      </c>
      <c r="BY25" t="e">
        <f>AND('Ark1'!A695,"AAAAAGbXvkw=")</f>
        <v>#VALUE!</v>
      </c>
      <c r="BZ25" t="e">
        <f>AND('Ark1'!B695,"AAAAAGbXvk0=")</f>
        <v>#VALUE!</v>
      </c>
      <c r="CA25" t="e">
        <f>AND('Ark1'!C695,"AAAAAGbXvk4=")</f>
        <v>#VALUE!</v>
      </c>
      <c r="CB25" t="e">
        <f>AND('Ark1'!D695,"AAAAAGbXvk8=")</f>
        <v>#VALUE!</v>
      </c>
      <c r="CC25" t="e">
        <f>AND('Ark1'!E695,"AAAAAGbXvlA=")</f>
        <v>#VALUE!</v>
      </c>
      <c r="CD25" t="e">
        <f>AND('Ark1'!F695,"AAAAAGbXvlE=")</f>
        <v>#VALUE!</v>
      </c>
      <c r="CE25" t="e">
        <f>AND('Ark1'!G695,"AAAAAGbXvlI=")</f>
        <v>#VALUE!</v>
      </c>
      <c r="CF25" t="e">
        <f>AND('Ark1'!H695,"AAAAAGbXvlM=")</f>
        <v>#VALUE!</v>
      </c>
      <c r="CG25">
        <f>IF('Ark1'!696:696,"AAAAAGbXvlQ=",0)</f>
        <v>0</v>
      </c>
      <c r="CH25" t="e">
        <f>AND('Ark1'!A696,"AAAAAGbXvlU=")</f>
        <v>#VALUE!</v>
      </c>
      <c r="CI25" t="e">
        <f>AND('Ark1'!B696,"AAAAAGbXvlY=")</f>
        <v>#VALUE!</v>
      </c>
      <c r="CJ25" t="e">
        <f>AND('Ark1'!C696,"AAAAAGbXvlc=")</f>
        <v>#VALUE!</v>
      </c>
      <c r="CK25" t="e">
        <f>AND('Ark1'!D696,"AAAAAGbXvlg=")</f>
        <v>#VALUE!</v>
      </c>
      <c r="CL25" t="e">
        <f>AND('Ark1'!E696,"AAAAAGbXvlk=")</f>
        <v>#VALUE!</v>
      </c>
      <c r="CM25" t="e">
        <f>AND('Ark1'!F696,"AAAAAGbXvlo=")</f>
        <v>#VALUE!</v>
      </c>
      <c r="CN25" t="e">
        <f>AND('Ark1'!G696,"AAAAAGbXvls=")</f>
        <v>#VALUE!</v>
      </c>
      <c r="CO25" t="e">
        <f>AND('Ark1'!H696,"AAAAAGbXvlw=")</f>
        <v>#VALUE!</v>
      </c>
      <c r="CP25">
        <f>IF('Ark1'!697:697,"AAAAAGbXvl0=",0)</f>
        <v>0</v>
      </c>
      <c r="CQ25" t="e">
        <f>AND('Ark1'!A697,"AAAAAGbXvl4=")</f>
        <v>#VALUE!</v>
      </c>
      <c r="CR25" t="e">
        <f>AND('Ark1'!B697,"AAAAAGbXvl8=")</f>
        <v>#VALUE!</v>
      </c>
      <c r="CS25" t="e">
        <f>AND('Ark1'!C697,"AAAAAGbXvmA=")</f>
        <v>#VALUE!</v>
      </c>
      <c r="CT25" t="e">
        <f>AND('Ark1'!D697,"AAAAAGbXvmE=")</f>
        <v>#VALUE!</v>
      </c>
      <c r="CU25" t="e">
        <f>AND('Ark1'!E697,"AAAAAGbXvmI=")</f>
        <v>#VALUE!</v>
      </c>
      <c r="CV25" t="e">
        <f>AND('Ark1'!F697,"AAAAAGbXvmM=")</f>
        <v>#VALUE!</v>
      </c>
      <c r="CW25" t="e">
        <f>AND('Ark1'!G697,"AAAAAGbXvmQ=")</f>
        <v>#VALUE!</v>
      </c>
      <c r="CX25" t="e">
        <f>AND('Ark1'!H697,"AAAAAGbXvmU=")</f>
        <v>#VALUE!</v>
      </c>
      <c r="CY25">
        <f>IF('Ark1'!698:698,"AAAAAGbXvmY=",0)</f>
        <v>0</v>
      </c>
      <c r="CZ25" t="e">
        <f>AND('Ark1'!A698,"AAAAAGbXvmc=")</f>
        <v>#VALUE!</v>
      </c>
      <c r="DA25" t="e">
        <f>AND('Ark1'!B698,"AAAAAGbXvmg=")</f>
        <v>#VALUE!</v>
      </c>
      <c r="DB25" t="e">
        <f>AND('Ark1'!C698,"AAAAAGbXvmk=")</f>
        <v>#VALUE!</v>
      </c>
      <c r="DC25" t="e">
        <f>AND('Ark1'!D698,"AAAAAGbXvmo=")</f>
        <v>#VALUE!</v>
      </c>
      <c r="DD25" t="e">
        <f>AND('Ark1'!E698,"AAAAAGbXvms=")</f>
        <v>#VALUE!</v>
      </c>
      <c r="DE25" t="e">
        <f>AND('Ark1'!F698,"AAAAAGbXvmw=")</f>
        <v>#VALUE!</v>
      </c>
      <c r="DF25" t="e">
        <f>AND('Ark1'!G698,"AAAAAGbXvm0=")</f>
        <v>#VALUE!</v>
      </c>
      <c r="DG25" t="e">
        <f>AND('Ark1'!H698,"AAAAAGbXvm4=")</f>
        <v>#VALUE!</v>
      </c>
      <c r="DH25">
        <f>IF('Ark1'!699:699,"AAAAAGbXvm8=",0)</f>
        <v>0</v>
      </c>
      <c r="DI25" t="e">
        <f>AND('Ark1'!A699,"AAAAAGbXvnA=")</f>
        <v>#VALUE!</v>
      </c>
      <c r="DJ25" t="e">
        <f>AND('Ark1'!B699,"AAAAAGbXvnE=")</f>
        <v>#VALUE!</v>
      </c>
      <c r="DK25" t="e">
        <f>AND('Ark1'!C699,"AAAAAGbXvnI=")</f>
        <v>#VALUE!</v>
      </c>
      <c r="DL25" t="e">
        <f>AND('Ark1'!D699,"AAAAAGbXvnM=")</f>
        <v>#VALUE!</v>
      </c>
      <c r="DM25" t="e">
        <f>AND('Ark1'!E699,"AAAAAGbXvnQ=")</f>
        <v>#VALUE!</v>
      </c>
      <c r="DN25" t="e">
        <f>AND('Ark1'!F699,"AAAAAGbXvnU=")</f>
        <v>#VALUE!</v>
      </c>
      <c r="DO25" t="e">
        <f>AND('Ark1'!G699,"AAAAAGbXvnY=")</f>
        <v>#VALUE!</v>
      </c>
      <c r="DP25" t="e">
        <f>AND('Ark1'!H699,"AAAAAGbXvnc=")</f>
        <v>#VALUE!</v>
      </c>
      <c r="DQ25">
        <f>IF('Ark1'!700:700,"AAAAAGbXvng=",0)</f>
        <v>0</v>
      </c>
      <c r="DR25" t="e">
        <f>AND('Ark1'!A700,"AAAAAGbXvnk=")</f>
        <v>#VALUE!</v>
      </c>
      <c r="DS25" t="e">
        <f>AND('Ark1'!B700,"AAAAAGbXvno=")</f>
        <v>#VALUE!</v>
      </c>
      <c r="DT25" t="e">
        <f>AND('Ark1'!C700,"AAAAAGbXvns=")</f>
        <v>#VALUE!</v>
      </c>
      <c r="DU25" t="e">
        <f>AND('Ark1'!D700,"AAAAAGbXvnw=")</f>
        <v>#VALUE!</v>
      </c>
      <c r="DV25" t="e">
        <f>AND('Ark1'!E700,"AAAAAGbXvn0=")</f>
        <v>#VALUE!</v>
      </c>
      <c r="DW25" t="e">
        <f>AND('Ark1'!F700,"AAAAAGbXvn4=")</f>
        <v>#VALUE!</v>
      </c>
      <c r="DX25" t="e">
        <f>AND('Ark1'!G700,"AAAAAGbXvn8=")</f>
        <v>#VALUE!</v>
      </c>
      <c r="DY25" t="e">
        <f>AND('Ark1'!H700,"AAAAAGbXvoA=")</f>
        <v>#VALUE!</v>
      </c>
      <c r="DZ25">
        <f>IF('Ark1'!701:701,"AAAAAGbXvoE=",0)</f>
        <v>0</v>
      </c>
      <c r="EA25" t="e">
        <f>AND('Ark1'!A701,"AAAAAGbXvoI=")</f>
        <v>#VALUE!</v>
      </c>
      <c r="EB25" t="e">
        <f>AND('Ark1'!B701,"AAAAAGbXvoM=")</f>
        <v>#VALUE!</v>
      </c>
      <c r="EC25" t="e">
        <f>AND('Ark1'!C701,"AAAAAGbXvoQ=")</f>
        <v>#VALUE!</v>
      </c>
      <c r="ED25" t="e">
        <f>AND('Ark1'!D701,"AAAAAGbXvoU=")</f>
        <v>#VALUE!</v>
      </c>
      <c r="EE25" t="e">
        <f>AND('Ark1'!E701,"AAAAAGbXvoY=")</f>
        <v>#VALUE!</v>
      </c>
      <c r="EF25" t="e">
        <f>AND('Ark1'!F701,"AAAAAGbXvoc=")</f>
        <v>#VALUE!</v>
      </c>
      <c r="EG25" t="e">
        <f>AND('Ark1'!G701,"AAAAAGbXvog=")</f>
        <v>#VALUE!</v>
      </c>
      <c r="EH25" t="e">
        <f>AND('Ark1'!H701,"AAAAAGbXvok=")</f>
        <v>#VALUE!</v>
      </c>
      <c r="EI25">
        <f>IF('Ark1'!702:702,"AAAAAGbXvoo=",0)</f>
        <v>0</v>
      </c>
      <c r="EJ25" t="e">
        <f>AND('Ark1'!A702,"AAAAAGbXvos=")</f>
        <v>#VALUE!</v>
      </c>
      <c r="EK25" t="e">
        <f>AND('Ark1'!B702,"AAAAAGbXvow=")</f>
        <v>#VALUE!</v>
      </c>
      <c r="EL25" t="e">
        <f>AND('Ark1'!C702,"AAAAAGbXvo0=")</f>
        <v>#VALUE!</v>
      </c>
      <c r="EM25" t="e">
        <f>AND('Ark1'!D702,"AAAAAGbXvo4=")</f>
        <v>#VALUE!</v>
      </c>
      <c r="EN25" t="e">
        <f>AND('Ark1'!E702,"AAAAAGbXvo8=")</f>
        <v>#VALUE!</v>
      </c>
      <c r="EO25" t="e">
        <f>AND('Ark1'!F702,"AAAAAGbXvpA=")</f>
        <v>#VALUE!</v>
      </c>
      <c r="EP25" t="e">
        <f>AND('Ark1'!G702,"AAAAAGbXvpE=")</f>
        <v>#VALUE!</v>
      </c>
      <c r="EQ25" t="e">
        <f>AND('Ark1'!H702,"AAAAAGbXvpI=")</f>
        <v>#VALUE!</v>
      </c>
      <c r="ER25">
        <f>IF('Ark1'!703:703,"AAAAAGbXvpM=",0)</f>
        <v>0</v>
      </c>
      <c r="ES25" t="e">
        <f>AND('Ark1'!A703,"AAAAAGbXvpQ=")</f>
        <v>#VALUE!</v>
      </c>
      <c r="ET25" t="e">
        <f>AND('Ark1'!B703,"AAAAAGbXvpU=")</f>
        <v>#VALUE!</v>
      </c>
      <c r="EU25" t="e">
        <f>AND('Ark1'!C703,"AAAAAGbXvpY=")</f>
        <v>#VALUE!</v>
      </c>
      <c r="EV25" t="e">
        <f>AND('Ark1'!D703,"AAAAAGbXvpc=")</f>
        <v>#VALUE!</v>
      </c>
      <c r="EW25" t="e">
        <f>AND('Ark1'!E703,"AAAAAGbXvpg=")</f>
        <v>#VALUE!</v>
      </c>
      <c r="EX25" t="e">
        <f>AND('Ark1'!F703,"AAAAAGbXvpk=")</f>
        <v>#VALUE!</v>
      </c>
      <c r="EY25" t="e">
        <f>AND('Ark1'!G703,"AAAAAGbXvpo=")</f>
        <v>#VALUE!</v>
      </c>
      <c r="EZ25" t="e">
        <f>AND('Ark1'!H703,"AAAAAGbXvps=")</f>
        <v>#VALUE!</v>
      </c>
      <c r="FA25">
        <f>IF('Ark1'!704:704,"AAAAAGbXvpw=",0)</f>
        <v>0</v>
      </c>
      <c r="FB25" t="e">
        <f>AND('Ark1'!A704,"AAAAAGbXvp0=")</f>
        <v>#VALUE!</v>
      </c>
      <c r="FC25" t="e">
        <f>AND('Ark1'!B704,"AAAAAGbXvp4=")</f>
        <v>#VALUE!</v>
      </c>
      <c r="FD25" t="e">
        <f>AND('Ark1'!C704,"AAAAAGbXvp8=")</f>
        <v>#VALUE!</v>
      </c>
      <c r="FE25" t="e">
        <f>AND('Ark1'!D704,"AAAAAGbXvqA=")</f>
        <v>#VALUE!</v>
      </c>
      <c r="FF25" t="e">
        <f>AND('Ark1'!E704,"AAAAAGbXvqE=")</f>
        <v>#VALUE!</v>
      </c>
      <c r="FG25" t="e">
        <f>AND('Ark1'!F704,"AAAAAGbXvqI=")</f>
        <v>#VALUE!</v>
      </c>
      <c r="FH25" t="e">
        <f>AND('Ark1'!G704,"AAAAAGbXvqM=")</f>
        <v>#VALUE!</v>
      </c>
      <c r="FI25" t="e">
        <f>AND('Ark1'!H704,"AAAAAGbXvqQ=")</f>
        <v>#VALUE!</v>
      </c>
      <c r="FJ25">
        <f>IF('Ark1'!705:705,"AAAAAGbXvqU=",0)</f>
        <v>0</v>
      </c>
      <c r="FK25" t="e">
        <f>AND('Ark1'!A705,"AAAAAGbXvqY=")</f>
        <v>#VALUE!</v>
      </c>
      <c r="FL25" t="e">
        <f>AND('Ark1'!B705,"AAAAAGbXvqc=")</f>
        <v>#VALUE!</v>
      </c>
      <c r="FM25" t="e">
        <f>AND('Ark1'!C705,"AAAAAGbXvqg=")</f>
        <v>#VALUE!</v>
      </c>
      <c r="FN25" t="e">
        <f>AND('Ark1'!D705,"AAAAAGbXvqk=")</f>
        <v>#VALUE!</v>
      </c>
      <c r="FO25" t="e">
        <f>AND('Ark1'!E705,"AAAAAGbXvqo=")</f>
        <v>#VALUE!</v>
      </c>
      <c r="FP25" t="e">
        <f>AND('Ark1'!F705,"AAAAAGbXvqs=")</f>
        <v>#VALUE!</v>
      </c>
      <c r="FQ25" t="e">
        <f>AND('Ark1'!G705,"AAAAAGbXvqw=")</f>
        <v>#VALUE!</v>
      </c>
      <c r="FR25" t="e">
        <f>AND('Ark1'!H705,"AAAAAGbXvq0=")</f>
        <v>#VALUE!</v>
      </c>
      <c r="FS25">
        <f>IF('Ark1'!706:706,"AAAAAGbXvq4=",0)</f>
        <v>0</v>
      </c>
      <c r="FT25" t="e">
        <f>AND('Ark1'!A706,"AAAAAGbXvq8=")</f>
        <v>#VALUE!</v>
      </c>
      <c r="FU25" t="e">
        <f>AND('Ark1'!B706,"AAAAAGbXvrA=")</f>
        <v>#VALUE!</v>
      </c>
      <c r="FV25" t="e">
        <f>AND('Ark1'!C706,"AAAAAGbXvrE=")</f>
        <v>#VALUE!</v>
      </c>
      <c r="FW25" t="e">
        <f>AND('Ark1'!D706,"AAAAAGbXvrI=")</f>
        <v>#VALUE!</v>
      </c>
      <c r="FX25" t="e">
        <f>AND('Ark1'!E706,"AAAAAGbXvrM=")</f>
        <v>#VALUE!</v>
      </c>
      <c r="FY25" t="e">
        <f>AND('Ark1'!F706,"AAAAAGbXvrQ=")</f>
        <v>#VALUE!</v>
      </c>
      <c r="FZ25" t="e">
        <f>AND('Ark1'!G706,"AAAAAGbXvrU=")</f>
        <v>#VALUE!</v>
      </c>
      <c r="GA25" t="e">
        <f>AND('Ark1'!H706,"AAAAAGbXvrY=")</f>
        <v>#VALUE!</v>
      </c>
      <c r="GB25">
        <f>IF('Ark1'!707:707,"AAAAAGbXvrc=",0)</f>
        <v>0</v>
      </c>
      <c r="GC25" t="e">
        <f>AND('Ark1'!A707,"AAAAAGbXvrg=")</f>
        <v>#VALUE!</v>
      </c>
      <c r="GD25" t="e">
        <f>AND('Ark1'!B707,"AAAAAGbXvrk=")</f>
        <v>#VALUE!</v>
      </c>
      <c r="GE25" t="e">
        <f>AND('Ark1'!C707,"AAAAAGbXvro=")</f>
        <v>#VALUE!</v>
      </c>
      <c r="GF25" t="e">
        <f>AND('Ark1'!D707,"AAAAAGbXvrs=")</f>
        <v>#VALUE!</v>
      </c>
      <c r="GG25" t="e">
        <f>AND('Ark1'!E707,"AAAAAGbXvrw=")</f>
        <v>#VALUE!</v>
      </c>
      <c r="GH25" t="e">
        <f>AND('Ark1'!F707,"AAAAAGbXvr0=")</f>
        <v>#VALUE!</v>
      </c>
      <c r="GI25" t="e">
        <f>AND('Ark1'!G707,"AAAAAGbXvr4=")</f>
        <v>#VALUE!</v>
      </c>
      <c r="GJ25" t="e">
        <f>AND('Ark1'!H707,"AAAAAGbXvr8=")</f>
        <v>#VALUE!</v>
      </c>
      <c r="GK25">
        <f>IF('Ark1'!708:708,"AAAAAGbXvsA=",0)</f>
        <v>0</v>
      </c>
      <c r="GL25" t="e">
        <f>AND('Ark1'!A708,"AAAAAGbXvsE=")</f>
        <v>#VALUE!</v>
      </c>
      <c r="GM25" t="e">
        <f>AND('Ark1'!B708,"AAAAAGbXvsI=")</f>
        <v>#VALUE!</v>
      </c>
      <c r="GN25" t="e">
        <f>AND('Ark1'!C708,"AAAAAGbXvsM=")</f>
        <v>#VALUE!</v>
      </c>
      <c r="GO25" t="e">
        <f>AND('Ark1'!D708,"AAAAAGbXvsQ=")</f>
        <v>#VALUE!</v>
      </c>
      <c r="GP25" t="e">
        <f>AND('Ark1'!E708,"AAAAAGbXvsU=")</f>
        <v>#VALUE!</v>
      </c>
      <c r="GQ25" t="e">
        <f>AND('Ark1'!F708,"AAAAAGbXvsY=")</f>
        <v>#VALUE!</v>
      </c>
      <c r="GR25" t="e">
        <f>AND('Ark1'!G708,"AAAAAGbXvsc=")</f>
        <v>#VALUE!</v>
      </c>
      <c r="GS25" t="e">
        <f>AND('Ark1'!H708,"AAAAAGbXvsg=")</f>
        <v>#VALUE!</v>
      </c>
      <c r="GT25">
        <f>IF('Ark1'!709:709,"AAAAAGbXvsk=",0)</f>
        <v>0</v>
      </c>
      <c r="GU25" t="e">
        <f>AND('Ark1'!A709,"AAAAAGbXvso=")</f>
        <v>#VALUE!</v>
      </c>
      <c r="GV25" t="e">
        <f>AND('Ark1'!B709,"AAAAAGbXvss=")</f>
        <v>#VALUE!</v>
      </c>
      <c r="GW25" t="e">
        <f>AND('Ark1'!C709,"AAAAAGbXvsw=")</f>
        <v>#VALUE!</v>
      </c>
      <c r="GX25" t="e">
        <f>AND('Ark1'!D709,"AAAAAGbXvs0=")</f>
        <v>#VALUE!</v>
      </c>
      <c r="GY25" t="e">
        <f>AND('Ark1'!E709,"AAAAAGbXvs4=")</f>
        <v>#VALUE!</v>
      </c>
      <c r="GZ25" t="e">
        <f>AND('Ark1'!F709,"AAAAAGbXvs8=")</f>
        <v>#VALUE!</v>
      </c>
      <c r="HA25" t="e">
        <f>AND('Ark1'!G709,"AAAAAGbXvtA=")</f>
        <v>#VALUE!</v>
      </c>
      <c r="HB25" t="e">
        <f>AND('Ark1'!H709,"AAAAAGbXvtE=")</f>
        <v>#VALUE!</v>
      </c>
      <c r="HC25">
        <f>IF('Ark1'!710:710,"AAAAAGbXvtI=",0)</f>
        <v>0</v>
      </c>
      <c r="HD25" t="e">
        <f>AND('Ark1'!A710,"AAAAAGbXvtM=")</f>
        <v>#VALUE!</v>
      </c>
      <c r="HE25" t="e">
        <f>AND('Ark1'!B710,"AAAAAGbXvtQ=")</f>
        <v>#VALUE!</v>
      </c>
      <c r="HF25" t="e">
        <f>AND('Ark1'!C710,"AAAAAGbXvtU=")</f>
        <v>#VALUE!</v>
      </c>
      <c r="HG25" t="e">
        <f>AND('Ark1'!D710,"AAAAAGbXvtY=")</f>
        <v>#VALUE!</v>
      </c>
      <c r="HH25" t="e">
        <f>AND('Ark1'!E710,"AAAAAGbXvtc=")</f>
        <v>#VALUE!</v>
      </c>
      <c r="HI25" t="e">
        <f>AND('Ark1'!F710,"AAAAAGbXvtg=")</f>
        <v>#VALUE!</v>
      </c>
      <c r="HJ25" t="e">
        <f>AND('Ark1'!G710,"AAAAAGbXvtk=")</f>
        <v>#VALUE!</v>
      </c>
      <c r="HK25" t="e">
        <f>AND('Ark1'!H710,"AAAAAGbXvto=")</f>
        <v>#VALUE!</v>
      </c>
      <c r="HL25">
        <f>IF('Ark1'!711:711,"AAAAAGbXvts=",0)</f>
        <v>0</v>
      </c>
      <c r="HM25" t="e">
        <f>AND('Ark1'!A711,"AAAAAGbXvtw=")</f>
        <v>#VALUE!</v>
      </c>
      <c r="HN25" t="e">
        <f>AND('Ark1'!B711,"AAAAAGbXvt0=")</f>
        <v>#VALUE!</v>
      </c>
      <c r="HO25" t="e">
        <f>AND('Ark1'!C711,"AAAAAGbXvt4=")</f>
        <v>#VALUE!</v>
      </c>
      <c r="HP25" t="e">
        <f>AND('Ark1'!D711,"AAAAAGbXvt8=")</f>
        <v>#VALUE!</v>
      </c>
      <c r="HQ25" t="e">
        <f>AND('Ark1'!E711,"AAAAAGbXvuA=")</f>
        <v>#VALUE!</v>
      </c>
      <c r="HR25" t="e">
        <f>AND('Ark1'!F711,"AAAAAGbXvuE=")</f>
        <v>#VALUE!</v>
      </c>
      <c r="HS25" t="e">
        <f>AND('Ark1'!G711,"AAAAAGbXvuI=")</f>
        <v>#VALUE!</v>
      </c>
      <c r="HT25" t="e">
        <f>AND('Ark1'!H711,"AAAAAGbXvuM=")</f>
        <v>#VALUE!</v>
      </c>
      <c r="HU25">
        <f>IF('Ark1'!712:712,"AAAAAGbXvuQ=",0)</f>
        <v>0</v>
      </c>
      <c r="HV25" t="e">
        <f>AND('Ark1'!A712,"AAAAAGbXvuU=")</f>
        <v>#VALUE!</v>
      </c>
      <c r="HW25" t="e">
        <f>AND('Ark1'!B712,"AAAAAGbXvuY=")</f>
        <v>#VALUE!</v>
      </c>
      <c r="HX25" t="e">
        <f>AND('Ark1'!C712,"AAAAAGbXvuc=")</f>
        <v>#VALUE!</v>
      </c>
      <c r="HY25" t="e">
        <f>AND('Ark1'!D712,"AAAAAGbXvug=")</f>
        <v>#VALUE!</v>
      </c>
      <c r="HZ25" t="e">
        <f>AND('Ark1'!E712,"AAAAAGbXvuk=")</f>
        <v>#VALUE!</v>
      </c>
      <c r="IA25" t="e">
        <f>AND('Ark1'!F712,"AAAAAGbXvuo=")</f>
        <v>#VALUE!</v>
      </c>
      <c r="IB25" t="e">
        <f>AND('Ark1'!G712,"AAAAAGbXvus=")</f>
        <v>#VALUE!</v>
      </c>
      <c r="IC25" t="e">
        <f>AND('Ark1'!H712,"AAAAAGbXvuw=")</f>
        <v>#VALUE!</v>
      </c>
      <c r="ID25">
        <f>IF('Ark1'!713:713,"AAAAAGbXvu0=",0)</f>
        <v>0</v>
      </c>
      <c r="IE25" t="e">
        <f>AND('Ark1'!A713,"AAAAAGbXvu4=")</f>
        <v>#VALUE!</v>
      </c>
      <c r="IF25" t="e">
        <f>AND('Ark1'!B713,"AAAAAGbXvu8=")</f>
        <v>#VALUE!</v>
      </c>
      <c r="IG25" t="e">
        <f>AND('Ark1'!C713,"AAAAAGbXvvA=")</f>
        <v>#VALUE!</v>
      </c>
      <c r="IH25" t="e">
        <f>AND('Ark1'!D713,"AAAAAGbXvvE=")</f>
        <v>#VALUE!</v>
      </c>
      <c r="II25" t="e">
        <f>AND('Ark1'!E713,"AAAAAGbXvvI=")</f>
        <v>#VALUE!</v>
      </c>
      <c r="IJ25" t="e">
        <f>AND('Ark1'!F713,"AAAAAGbXvvM=")</f>
        <v>#VALUE!</v>
      </c>
      <c r="IK25" t="e">
        <f>AND('Ark1'!G713,"AAAAAGbXvvQ=")</f>
        <v>#VALUE!</v>
      </c>
      <c r="IL25" t="e">
        <f>AND('Ark1'!H713,"AAAAAGbXvvU=")</f>
        <v>#VALUE!</v>
      </c>
      <c r="IM25">
        <f>IF('Ark1'!714:714,"AAAAAGbXvvY=",0)</f>
        <v>0</v>
      </c>
      <c r="IN25" t="e">
        <f>AND('Ark1'!A714,"AAAAAGbXvvc=")</f>
        <v>#VALUE!</v>
      </c>
      <c r="IO25" t="e">
        <f>AND('Ark1'!B714,"AAAAAGbXvvg=")</f>
        <v>#VALUE!</v>
      </c>
      <c r="IP25" t="e">
        <f>AND('Ark1'!C714,"AAAAAGbXvvk=")</f>
        <v>#VALUE!</v>
      </c>
      <c r="IQ25" t="e">
        <f>AND('Ark1'!D714,"AAAAAGbXvvo=")</f>
        <v>#VALUE!</v>
      </c>
      <c r="IR25" t="e">
        <f>AND('Ark1'!E714,"AAAAAGbXvvs=")</f>
        <v>#VALUE!</v>
      </c>
      <c r="IS25" t="e">
        <f>AND('Ark1'!F714,"AAAAAGbXvvw=")</f>
        <v>#VALUE!</v>
      </c>
      <c r="IT25" t="e">
        <f>AND('Ark1'!G714,"AAAAAGbXvv0=")</f>
        <v>#VALUE!</v>
      </c>
      <c r="IU25" t="e">
        <f>AND('Ark1'!H714,"AAAAAGbXvv4=")</f>
        <v>#VALUE!</v>
      </c>
      <c r="IV25">
        <f>IF('Ark1'!715:715,"AAAAAGbXvv8=",0)</f>
        <v>0</v>
      </c>
    </row>
    <row r="26" spans="1:256" x14ac:dyDescent="0.25">
      <c r="A26" t="e">
        <f>AND('Ark1'!A715,"AAAAAFq25wA=")</f>
        <v>#VALUE!</v>
      </c>
      <c r="B26" t="e">
        <f>AND('Ark1'!B715,"AAAAAFq25wE=")</f>
        <v>#VALUE!</v>
      </c>
      <c r="C26" t="e">
        <f>AND('Ark1'!C715,"AAAAAFq25wI=")</f>
        <v>#VALUE!</v>
      </c>
      <c r="D26" t="e">
        <f>AND('Ark1'!D715,"AAAAAFq25wM=")</f>
        <v>#VALUE!</v>
      </c>
      <c r="E26" t="e">
        <f>AND('Ark1'!E715,"AAAAAFq25wQ=")</f>
        <v>#VALUE!</v>
      </c>
      <c r="F26" t="e">
        <f>AND('Ark1'!F715,"AAAAAFq25wU=")</f>
        <v>#VALUE!</v>
      </c>
      <c r="G26" t="e">
        <f>AND('Ark1'!G715,"AAAAAFq25wY=")</f>
        <v>#VALUE!</v>
      </c>
      <c r="H26" t="e">
        <f>AND('Ark1'!H715,"AAAAAFq25wc=")</f>
        <v>#VALUE!</v>
      </c>
      <c r="I26">
        <f>IF('Ark1'!716:716,"AAAAAFq25wg=",0)</f>
        <v>0</v>
      </c>
      <c r="J26" t="e">
        <f>AND('Ark1'!A716,"AAAAAFq25wk=")</f>
        <v>#VALUE!</v>
      </c>
      <c r="K26" t="e">
        <f>AND('Ark1'!B716,"AAAAAFq25wo=")</f>
        <v>#VALUE!</v>
      </c>
      <c r="L26" t="e">
        <f>AND('Ark1'!C716,"AAAAAFq25ws=")</f>
        <v>#VALUE!</v>
      </c>
      <c r="M26" t="e">
        <f>AND('Ark1'!D716,"AAAAAFq25ww=")</f>
        <v>#VALUE!</v>
      </c>
      <c r="N26" t="e">
        <f>AND('Ark1'!E716,"AAAAAFq25w0=")</f>
        <v>#VALUE!</v>
      </c>
      <c r="O26" t="e">
        <f>AND('Ark1'!F716,"AAAAAFq25w4=")</f>
        <v>#VALUE!</v>
      </c>
      <c r="P26" t="e">
        <f>AND('Ark1'!G716,"AAAAAFq25w8=")</f>
        <v>#VALUE!</v>
      </c>
      <c r="Q26" t="e">
        <f>AND('Ark1'!H716,"AAAAAFq25xA=")</f>
        <v>#VALUE!</v>
      </c>
      <c r="R26">
        <f>IF('Ark1'!717:717,"AAAAAFq25xE=",0)</f>
        <v>0</v>
      </c>
      <c r="S26" t="e">
        <f>AND('Ark1'!A717,"AAAAAFq25xI=")</f>
        <v>#VALUE!</v>
      </c>
      <c r="T26" t="e">
        <f>AND('Ark1'!B717,"AAAAAFq25xM=")</f>
        <v>#VALUE!</v>
      </c>
      <c r="U26" t="e">
        <f>AND('Ark1'!C717,"AAAAAFq25xQ=")</f>
        <v>#VALUE!</v>
      </c>
      <c r="V26" t="e">
        <f>AND('Ark1'!D717,"AAAAAFq25xU=")</f>
        <v>#VALUE!</v>
      </c>
      <c r="W26" t="e">
        <f>AND('Ark1'!E717,"AAAAAFq25xY=")</f>
        <v>#VALUE!</v>
      </c>
      <c r="X26" t="e">
        <f>AND('Ark1'!F717,"AAAAAFq25xc=")</f>
        <v>#VALUE!</v>
      </c>
      <c r="Y26" t="e">
        <f>AND('Ark1'!G717,"AAAAAFq25xg=")</f>
        <v>#VALUE!</v>
      </c>
      <c r="Z26" t="e">
        <f>AND('Ark1'!H717,"AAAAAFq25xk=")</f>
        <v>#VALUE!</v>
      </c>
      <c r="AA26">
        <f>IF('Ark1'!718:718,"AAAAAFq25xo=",0)</f>
        <v>0</v>
      </c>
      <c r="AB26" t="e">
        <f>AND('Ark1'!A718,"AAAAAFq25xs=")</f>
        <v>#VALUE!</v>
      </c>
      <c r="AC26" t="e">
        <f>AND('Ark1'!B718,"AAAAAFq25xw=")</f>
        <v>#VALUE!</v>
      </c>
      <c r="AD26" t="e">
        <f>AND('Ark1'!C718,"AAAAAFq25x0=")</f>
        <v>#VALUE!</v>
      </c>
      <c r="AE26" t="e">
        <f>AND('Ark1'!D718,"AAAAAFq25x4=")</f>
        <v>#VALUE!</v>
      </c>
      <c r="AF26" t="e">
        <f>AND('Ark1'!E718,"AAAAAFq25x8=")</f>
        <v>#VALUE!</v>
      </c>
      <c r="AG26" t="e">
        <f>AND('Ark1'!F718,"AAAAAFq25yA=")</f>
        <v>#VALUE!</v>
      </c>
      <c r="AH26" t="e">
        <f>AND('Ark1'!G718,"AAAAAFq25yE=")</f>
        <v>#VALUE!</v>
      </c>
      <c r="AI26" t="e">
        <f>AND('Ark1'!H718,"AAAAAFq25yI=")</f>
        <v>#VALUE!</v>
      </c>
      <c r="AJ26">
        <f>IF('Ark1'!719:719,"AAAAAFq25yM=",0)</f>
        <v>0</v>
      </c>
      <c r="AK26" t="e">
        <f>AND('Ark1'!A719,"AAAAAFq25yQ=")</f>
        <v>#VALUE!</v>
      </c>
      <c r="AL26" t="e">
        <f>AND('Ark1'!B719,"AAAAAFq25yU=")</f>
        <v>#VALUE!</v>
      </c>
      <c r="AM26" t="e">
        <f>AND('Ark1'!C719,"AAAAAFq25yY=")</f>
        <v>#VALUE!</v>
      </c>
      <c r="AN26" t="e">
        <f>AND('Ark1'!D719,"AAAAAFq25yc=")</f>
        <v>#VALUE!</v>
      </c>
      <c r="AO26" t="e">
        <f>AND('Ark1'!E719,"AAAAAFq25yg=")</f>
        <v>#VALUE!</v>
      </c>
      <c r="AP26" t="e">
        <f>AND('Ark1'!F719,"AAAAAFq25yk=")</f>
        <v>#VALUE!</v>
      </c>
      <c r="AQ26" t="e">
        <f>AND('Ark1'!G719,"AAAAAFq25yo=")</f>
        <v>#VALUE!</v>
      </c>
      <c r="AR26" t="e">
        <f>AND('Ark1'!H719,"AAAAAFq25ys=")</f>
        <v>#VALUE!</v>
      </c>
      <c r="AS26">
        <f>IF('Ark1'!720:720,"AAAAAFq25yw=",0)</f>
        <v>0</v>
      </c>
      <c r="AT26" t="e">
        <f>AND('Ark1'!A720,"AAAAAFq25y0=")</f>
        <v>#VALUE!</v>
      </c>
      <c r="AU26" t="e">
        <f>AND('Ark1'!B720,"AAAAAFq25y4=")</f>
        <v>#VALUE!</v>
      </c>
      <c r="AV26" t="e">
        <f>AND('Ark1'!C720,"AAAAAFq25y8=")</f>
        <v>#VALUE!</v>
      </c>
      <c r="AW26" t="e">
        <f>AND('Ark1'!D720,"AAAAAFq25zA=")</f>
        <v>#VALUE!</v>
      </c>
      <c r="AX26" t="e">
        <f>AND('Ark1'!E720,"AAAAAFq25zE=")</f>
        <v>#VALUE!</v>
      </c>
      <c r="AY26" t="e">
        <f>AND('Ark1'!F720,"AAAAAFq25zI=")</f>
        <v>#VALUE!</v>
      </c>
      <c r="AZ26" t="e">
        <f>AND('Ark1'!G720,"AAAAAFq25zM=")</f>
        <v>#VALUE!</v>
      </c>
      <c r="BA26" t="e">
        <f>AND('Ark1'!H720,"AAAAAFq25zQ=")</f>
        <v>#VALUE!</v>
      </c>
      <c r="BB26">
        <f>IF('Ark1'!721:721,"AAAAAFq25zU=",0)</f>
        <v>0</v>
      </c>
      <c r="BC26" t="e">
        <f>AND('Ark1'!A721,"AAAAAFq25zY=")</f>
        <v>#VALUE!</v>
      </c>
      <c r="BD26" t="e">
        <f>AND('Ark1'!B721,"AAAAAFq25zc=")</f>
        <v>#VALUE!</v>
      </c>
      <c r="BE26" t="e">
        <f>AND('Ark1'!C721,"AAAAAFq25zg=")</f>
        <v>#VALUE!</v>
      </c>
      <c r="BF26" t="e">
        <f>AND('Ark1'!D721,"AAAAAFq25zk=")</f>
        <v>#VALUE!</v>
      </c>
      <c r="BG26" t="e">
        <f>AND('Ark1'!E721,"AAAAAFq25zo=")</f>
        <v>#VALUE!</v>
      </c>
      <c r="BH26" t="e">
        <f>AND('Ark1'!F721,"AAAAAFq25zs=")</f>
        <v>#VALUE!</v>
      </c>
      <c r="BI26" t="e">
        <f>AND('Ark1'!G721,"AAAAAFq25zw=")</f>
        <v>#VALUE!</v>
      </c>
      <c r="BJ26" t="e">
        <f>AND('Ark1'!H721,"AAAAAFq25z0=")</f>
        <v>#VALUE!</v>
      </c>
      <c r="BK26">
        <f>IF('Ark1'!722:722,"AAAAAFq25z4=",0)</f>
        <v>0</v>
      </c>
      <c r="BL26" t="e">
        <f>AND('Ark1'!A722,"AAAAAFq25z8=")</f>
        <v>#VALUE!</v>
      </c>
      <c r="BM26" t="e">
        <f>AND('Ark1'!B722,"AAAAAFq250A=")</f>
        <v>#VALUE!</v>
      </c>
      <c r="BN26" t="e">
        <f>AND('Ark1'!C722,"AAAAAFq250E=")</f>
        <v>#VALUE!</v>
      </c>
      <c r="BO26" t="e">
        <f>AND('Ark1'!D722,"AAAAAFq250I=")</f>
        <v>#VALUE!</v>
      </c>
      <c r="BP26" t="e">
        <f>AND('Ark1'!E722,"AAAAAFq250M=")</f>
        <v>#VALUE!</v>
      </c>
      <c r="BQ26" t="e">
        <f>AND('Ark1'!F722,"AAAAAFq250Q=")</f>
        <v>#VALUE!</v>
      </c>
      <c r="BR26" t="e">
        <f>AND('Ark1'!G722,"AAAAAFq250U=")</f>
        <v>#VALUE!</v>
      </c>
      <c r="BS26" t="e">
        <f>AND('Ark1'!H722,"AAAAAFq250Y=")</f>
        <v>#VALUE!</v>
      </c>
      <c r="BT26">
        <f>IF('Ark1'!723:723,"AAAAAFq250c=",0)</f>
        <v>0</v>
      </c>
      <c r="BU26" t="e">
        <f>AND('Ark1'!A723,"AAAAAFq250g=")</f>
        <v>#VALUE!</v>
      </c>
      <c r="BV26" t="e">
        <f>AND('Ark1'!B723,"AAAAAFq250k=")</f>
        <v>#VALUE!</v>
      </c>
      <c r="BW26" t="e">
        <f>AND('Ark1'!C723,"AAAAAFq250o=")</f>
        <v>#VALUE!</v>
      </c>
      <c r="BX26" t="e">
        <f>AND('Ark1'!D723,"AAAAAFq250s=")</f>
        <v>#VALUE!</v>
      </c>
      <c r="BY26" t="e">
        <f>AND('Ark1'!E723,"AAAAAFq250w=")</f>
        <v>#VALUE!</v>
      </c>
      <c r="BZ26" t="e">
        <f>AND('Ark1'!F723,"AAAAAFq2500=")</f>
        <v>#VALUE!</v>
      </c>
      <c r="CA26" t="e">
        <f>AND('Ark1'!G723,"AAAAAFq2504=")</f>
        <v>#VALUE!</v>
      </c>
      <c r="CB26" t="e">
        <f>AND('Ark1'!H723,"AAAAAFq2508=")</f>
        <v>#VALUE!</v>
      </c>
      <c r="CC26">
        <f>IF('Ark1'!724:724,"AAAAAFq251A=",0)</f>
        <v>0</v>
      </c>
      <c r="CD26" t="e">
        <f>AND('Ark1'!A724,"AAAAAFq251E=")</f>
        <v>#VALUE!</v>
      </c>
      <c r="CE26" t="e">
        <f>AND('Ark1'!B724,"AAAAAFq251I=")</f>
        <v>#VALUE!</v>
      </c>
      <c r="CF26" t="e">
        <f>AND('Ark1'!C724,"AAAAAFq251M=")</f>
        <v>#VALUE!</v>
      </c>
      <c r="CG26" t="e">
        <f>AND('Ark1'!D724,"AAAAAFq251Q=")</f>
        <v>#VALUE!</v>
      </c>
      <c r="CH26" t="e">
        <f>AND('Ark1'!E724,"AAAAAFq251U=")</f>
        <v>#VALUE!</v>
      </c>
      <c r="CI26" t="e">
        <f>AND('Ark1'!F724,"AAAAAFq251Y=")</f>
        <v>#VALUE!</v>
      </c>
      <c r="CJ26" t="e">
        <f>AND('Ark1'!G724,"AAAAAFq251c=")</f>
        <v>#VALUE!</v>
      </c>
      <c r="CK26" t="e">
        <f>AND('Ark1'!H724,"AAAAAFq251g=")</f>
        <v>#VALUE!</v>
      </c>
      <c r="CL26">
        <f>IF('Ark1'!725:725,"AAAAAFq251k=",0)</f>
        <v>0</v>
      </c>
      <c r="CM26" t="e">
        <f>AND('Ark1'!A725,"AAAAAFq251o=")</f>
        <v>#VALUE!</v>
      </c>
      <c r="CN26" t="e">
        <f>AND('Ark1'!B725,"AAAAAFq251s=")</f>
        <v>#VALUE!</v>
      </c>
      <c r="CO26" t="e">
        <f>AND('Ark1'!C725,"AAAAAFq251w=")</f>
        <v>#VALUE!</v>
      </c>
      <c r="CP26" t="e">
        <f>AND('Ark1'!D725,"AAAAAFq2510=")</f>
        <v>#VALUE!</v>
      </c>
      <c r="CQ26" t="e">
        <f>AND('Ark1'!E725,"AAAAAFq2514=")</f>
        <v>#VALUE!</v>
      </c>
      <c r="CR26" t="e">
        <f>AND('Ark1'!F725,"AAAAAFq2518=")</f>
        <v>#VALUE!</v>
      </c>
      <c r="CS26" t="e">
        <f>AND('Ark1'!G725,"AAAAAFq252A=")</f>
        <v>#VALUE!</v>
      </c>
      <c r="CT26" t="e">
        <f>AND('Ark1'!H725,"AAAAAFq252E=")</f>
        <v>#VALUE!</v>
      </c>
      <c r="CU26">
        <f>IF('Ark1'!726:726,"AAAAAFq252I=",0)</f>
        <v>0</v>
      </c>
      <c r="CV26" t="e">
        <f>AND('Ark1'!A726,"AAAAAFq252M=")</f>
        <v>#VALUE!</v>
      </c>
      <c r="CW26" t="e">
        <f>AND('Ark1'!B726,"AAAAAFq252Q=")</f>
        <v>#VALUE!</v>
      </c>
      <c r="CX26" t="e">
        <f>AND('Ark1'!C726,"AAAAAFq252U=")</f>
        <v>#VALUE!</v>
      </c>
      <c r="CY26" t="e">
        <f>AND('Ark1'!D726,"AAAAAFq252Y=")</f>
        <v>#VALUE!</v>
      </c>
      <c r="CZ26" t="e">
        <f>AND('Ark1'!E726,"AAAAAFq252c=")</f>
        <v>#VALUE!</v>
      </c>
      <c r="DA26" t="e">
        <f>AND('Ark1'!F726,"AAAAAFq252g=")</f>
        <v>#VALUE!</v>
      </c>
      <c r="DB26" t="e">
        <f>AND('Ark1'!G726,"AAAAAFq252k=")</f>
        <v>#VALUE!</v>
      </c>
      <c r="DC26" t="e">
        <f>AND('Ark1'!H726,"AAAAAFq252o=")</f>
        <v>#VALUE!</v>
      </c>
      <c r="DD26">
        <f>IF('Ark1'!727:727,"AAAAAFq252s=",0)</f>
        <v>0</v>
      </c>
      <c r="DE26" t="e">
        <f>AND('Ark1'!A727,"AAAAAFq252w=")</f>
        <v>#VALUE!</v>
      </c>
      <c r="DF26" t="e">
        <f>AND('Ark1'!B727,"AAAAAFq2520=")</f>
        <v>#VALUE!</v>
      </c>
      <c r="DG26" t="e">
        <f>AND('Ark1'!C727,"AAAAAFq2524=")</f>
        <v>#VALUE!</v>
      </c>
      <c r="DH26" t="e">
        <f>AND('Ark1'!D727,"AAAAAFq2528=")</f>
        <v>#VALUE!</v>
      </c>
      <c r="DI26" t="e">
        <f>AND('Ark1'!E727,"AAAAAFq253A=")</f>
        <v>#VALUE!</v>
      </c>
      <c r="DJ26" t="e">
        <f>AND('Ark1'!F727,"AAAAAFq253E=")</f>
        <v>#VALUE!</v>
      </c>
      <c r="DK26" t="e">
        <f>AND('Ark1'!G727,"AAAAAFq253I=")</f>
        <v>#VALUE!</v>
      </c>
      <c r="DL26" t="e">
        <f>AND('Ark1'!H727,"AAAAAFq253M=")</f>
        <v>#VALUE!</v>
      </c>
      <c r="DM26">
        <f>IF('Ark1'!728:728,"AAAAAFq253Q=",0)</f>
        <v>0</v>
      </c>
      <c r="DN26" t="e">
        <f>AND('Ark1'!A728,"AAAAAFq253U=")</f>
        <v>#VALUE!</v>
      </c>
      <c r="DO26" t="e">
        <f>AND('Ark1'!B728,"AAAAAFq253Y=")</f>
        <v>#VALUE!</v>
      </c>
      <c r="DP26" t="e">
        <f>AND('Ark1'!C728,"AAAAAFq253c=")</f>
        <v>#VALUE!</v>
      </c>
      <c r="DQ26" t="e">
        <f>AND('Ark1'!D728,"AAAAAFq253g=")</f>
        <v>#VALUE!</v>
      </c>
      <c r="DR26" t="e">
        <f>AND('Ark1'!E728,"AAAAAFq253k=")</f>
        <v>#VALUE!</v>
      </c>
      <c r="DS26" t="e">
        <f>AND('Ark1'!F728,"AAAAAFq253o=")</f>
        <v>#VALUE!</v>
      </c>
      <c r="DT26" t="e">
        <f>AND('Ark1'!G728,"AAAAAFq253s=")</f>
        <v>#VALUE!</v>
      </c>
      <c r="DU26" t="e">
        <f>AND('Ark1'!H728,"AAAAAFq253w=")</f>
        <v>#VALUE!</v>
      </c>
      <c r="DV26">
        <f>IF('Ark1'!729:729,"AAAAAFq2530=",0)</f>
        <v>0</v>
      </c>
      <c r="DW26" t="e">
        <f>AND('Ark1'!A729,"AAAAAFq2534=")</f>
        <v>#VALUE!</v>
      </c>
      <c r="DX26" t="e">
        <f>AND('Ark1'!B729,"AAAAAFq2538=")</f>
        <v>#VALUE!</v>
      </c>
      <c r="DY26" t="e">
        <f>AND('Ark1'!C729,"AAAAAFq254A=")</f>
        <v>#VALUE!</v>
      </c>
      <c r="DZ26" t="e">
        <f>AND('Ark1'!D729,"AAAAAFq254E=")</f>
        <v>#VALUE!</v>
      </c>
      <c r="EA26" t="e">
        <f>AND('Ark1'!E729,"AAAAAFq254I=")</f>
        <v>#VALUE!</v>
      </c>
      <c r="EB26" t="e">
        <f>AND('Ark1'!F729,"AAAAAFq254M=")</f>
        <v>#VALUE!</v>
      </c>
      <c r="EC26" t="e">
        <f>AND('Ark1'!G729,"AAAAAFq254Q=")</f>
        <v>#VALUE!</v>
      </c>
      <c r="ED26" t="e">
        <f>AND('Ark1'!H729,"AAAAAFq254U=")</f>
        <v>#VALUE!</v>
      </c>
      <c r="EE26">
        <f>IF('Ark1'!730:730,"AAAAAFq254Y=",0)</f>
        <v>0</v>
      </c>
      <c r="EF26" t="e">
        <f>AND('Ark1'!A730,"AAAAAFq254c=")</f>
        <v>#VALUE!</v>
      </c>
      <c r="EG26" t="e">
        <f>AND('Ark1'!B730,"AAAAAFq254g=")</f>
        <v>#VALUE!</v>
      </c>
      <c r="EH26" t="e">
        <f>AND('Ark1'!C730,"AAAAAFq254k=")</f>
        <v>#VALUE!</v>
      </c>
      <c r="EI26" t="e">
        <f>AND('Ark1'!D730,"AAAAAFq254o=")</f>
        <v>#VALUE!</v>
      </c>
      <c r="EJ26" t="e">
        <f>AND('Ark1'!E730,"AAAAAFq254s=")</f>
        <v>#VALUE!</v>
      </c>
      <c r="EK26" t="e">
        <f>AND('Ark1'!F730,"AAAAAFq254w=")</f>
        <v>#VALUE!</v>
      </c>
      <c r="EL26" t="e">
        <f>AND('Ark1'!G730,"AAAAAFq2540=")</f>
        <v>#VALUE!</v>
      </c>
      <c r="EM26" t="e">
        <f>AND('Ark1'!H730,"AAAAAFq2544=")</f>
        <v>#VALUE!</v>
      </c>
      <c r="EN26">
        <f>IF('Ark1'!731:731,"AAAAAFq2548=",0)</f>
        <v>0</v>
      </c>
      <c r="EO26" t="e">
        <f>AND('Ark1'!A731,"AAAAAFq255A=")</f>
        <v>#VALUE!</v>
      </c>
      <c r="EP26" t="e">
        <f>AND('Ark1'!B731,"AAAAAFq255E=")</f>
        <v>#VALUE!</v>
      </c>
      <c r="EQ26" t="e">
        <f>AND('Ark1'!C731,"AAAAAFq255I=")</f>
        <v>#VALUE!</v>
      </c>
      <c r="ER26" t="e">
        <f>AND('Ark1'!D731,"AAAAAFq255M=")</f>
        <v>#VALUE!</v>
      </c>
      <c r="ES26" t="e">
        <f>AND('Ark1'!E731,"AAAAAFq255Q=")</f>
        <v>#VALUE!</v>
      </c>
      <c r="ET26" t="e">
        <f>AND('Ark1'!F731,"AAAAAFq255U=")</f>
        <v>#VALUE!</v>
      </c>
      <c r="EU26" t="e">
        <f>AND('Ark1'!G731,"AAAAAFq255Y=")</f>
        <v>#VALUE!</v>
      </c>
      <c r="EV26" t="e">
        <f>AND('Ark1'!H731,"AAAAAFq255c=")</f>
        <v>#VALUE!</v>
      </c>
      <c r="EW26">
        <f>IF('Ark1'!732:732,"AAAAAFq255g=",0)</f>
        <v>0</v>
      </c>
      <c r="EX26" t="e">
        <f>AND('Ark1'!A732,"AAAAAFq255k=")</f>
        <v>#VALUE!</v>
      </c>
      <c r="EY26" t="e">
        <f>AND('Ark1'!B732,"AAAAAFq255o=")</f>
        <v>#VALUE!</v>
      </c>
      <c r="EZ26" t="e">
        <f>AND('Ark1'!C732,"AAAAAFq255s=")</f>
        <v>#VALUE!</v>
      </c>
      <c r="FA26" t="e">
        <f>AND('Ark1'!D732,"AAAAAFq255w=")</f>
        <v>#VALUE!</v>
      </c>
      <c r="FB26" t="e">
        <f>AND('Ark1'!E732,"AAAAAFq2550=")</f>
        <v>#VALUE!</v>
      </c>
      <c r="FC26" t="e">
        <f>AND('Ark1'!F732,"AAAAAFq2554=")</f>
        <v>#VALUE!</v>
      </c>
      <c r="FD26" t="e">
        <f>AND('Ark1'!G732,"AAAAAFq2558=")</f>
        <v>#VALUE!</v>
      </c>
      <c r="FE26" t="e">
        <f>AND('Ark1'!H732,"AAAAAFq256A=")</f>
        <v>#VALUE!</v>
      </c>
      <c r="FF26">
        <f>IF('Ark1'!733:733,"AAAAAFq256E=",0)</f>
        <v>0</v>
      </c>
      <c r="FG26" t="e">
        <f>AND('Ark1'!A733,"AAAAAFq256I=")</f>
        <v>#VALUE!</v>
      </c>
      <c r="FH26" t="e">
        <f>AND('Ark1'!B733,"AAAAAFq256M=")</f>
        <v>#VALUE!</v>
      </c>
      <c r="FI26" t="e">
        <f>AND('Ark1'!C733,"AAAAAFq256Q=")</f>
        <v>#VALUE!</v>
      </c>
      <c r="FJ26" t="e">
        <f>AND('Ark1'!D733,"AAAAAFq256U=")</f>
        <v>#VALUE!</v>
      </c>
      <c r="FK26" t="e">
        <f>AND('Ark1'!E733,"AAAAAFq256Y=")</f>
        <v>#VALUE!</v>
      </c>
      <c r="FL26" t="e">
        <f>AND('Ark1'!F733,"AAAAAFq256c=")</f>
        <v>#VALUE!</v>
      </c>
      <c r="FM26" t="e">
        <f>AND('Ark1'!G733,"AAAAAFq256g=")</f>
        <v>#VALUE!</v>
      </c>
      <c r="FN26" t="e">
        <f>AND('Ark1'!H733,"AAAAAFq256k=")</f>
        <v>#VALUE!</v>
      </c>
      <c r="FO26">
        <f>IF('Ark1'!734:734,"AAAAAFq256o=",0)</f>
        <v>0</v>
      </c>
      <c r="FP26" t="e">
        <f>AND('Ark1'!A734,"AAAAAFq256s=")</f>
        <v>#VALUE!</v>
      </c>
      <c r="FQ26" t="e">
        <f>AND('Ark1'!B734,"AAAAAFq256w=")</f>
        <v>#VALUE!</v>
      </c>
      <c r="FR26" t="e">
        <f>AND('Ark1'!C734,"AAAAAFq2560=")</f>
        <v>#VALUE!</v>
      </c>
      <c r="FS26" t="e">
        <f>AND('Ark1'!D734,"AAAAAFq2564=")</f>
        <v>#VALUE!</v>
      </c>
      <c r="FT26" t="e">
        <f>AND('Ark1'!E734,"AAAAAFq2568=")</f>
        <v>#VALUE!</v>
      </c>
      <c r="FU26" t="e">
        <f>AND('Ark1'!F734,"AAAAAFq257A=")</f>
        <v>#VALUE!</v>
      </c>
      <c r="FV26" t="e">
        <f>AND('Ark1'!G734,"AAAAAFq257E=")</f>
        <v>#VALUE!</v>
      </c>
      <c r="FW26" t="e">
        <f>AND('Ark1'!H734,"AAAAAFq257I=")</f>
        <v>#VALUE!</v>
      </c>
      <c r="FX26">
        <f>IF('Ark1'!735:735,"AAAAAFq257M=",0)</f>
        <v>0</v>
      </c>
      <c r="FY26" t="e">
        <f>AND('Ark1'!A735,"AAAAAFq257Q=")</f>
        <v>#VALUE!</v>
      </c>
      <c r="FZ26" t="e">
        <f>AND('Ark1'!B735,"AAAAAFq257U=")</f>
        <v>#VALUE!</v>
      </c>
      <c r="GA26" t="e">
        <f>AND('Ark1'!C735,"AAAAAFq257Y=")</f>
        <v>#VALUE!</v>
      </c>
      <c r="GB26" t="e">
        <f>AND('Ark1'!D735,"AAAAAFq257c=")</f>
        <v>#VALUE!</v>
      </c>
      <c r="GC26" t="e">
        <f>AND('Ark1'!E735,"AAAAAFq257g=")</f>
        <v>#VALUE!</v>
      </c>
      <c r="GD26" t="e">
        <f>AND('Ark1'!F735,"AAAAAFq257k=")</f>
        <v>#VALUE!</v>
      </c>
      <c r="GE26" t="e">
        <f>AND('Ark1'!G735,"AAAAAFq257o=")</f>
        <v>#VALUE!</v>
      </c>
      <c r="GF26" t="e">
        <f>AND('Ark1'!H735,"AAAAAFq257s=")</f>
        <v>#VALUE!</v>
      </c>
      <c r="GG26">
        <f>IF('Ark1'!736:736,"AAAAAFq257w=",0)</f>
        <v>0</v>
      </c>
      <c r="GH26" t="e">
        <f>AND('Ark1'!A736,"AAAAAFq2570=")</f>
        <v>#VALUE!</v>
      </c>
      <c r="GI26" t="e">
        <f>AND('Ark1'!B736,"AAAAAFq2574=")</f>
        <v>#VALUE!</v>
      </c>
      <c r="GJ26" t="e">
        <f>AND('Ark1'!C736,"AAAAAFq2578=")</f>
        <v>#VALUE!</v>
      </c>
      <c r="GK26" t="e">
        <f>AND('Ark1'!D736,"AAAAAFq258A=")</f>
        <v>#VALUE!</v>
      </c>
      <c r="GL26" t="e">
        <f>AND('Ark1'!E736,"AAAAAFq258E=")</f>
        <v>#VALUE!</v>
      </c>
      <c r="GM26" t="e">
        <f>AND('Ark1'!F736,"AAAAAFq258I=")</f>
        <v>#VALUE!</v>
      </c>
      <c r="GN26" t="e">
        <f>AND('Ark1'!G736,"AAAAAFq258M=")</f>
        <v>#VALUE!</v>
      </c>
      <c r="GO26" t="e">
        <f>AND('Ark1'!H736,"AAAAAFq258Q=")</f>
        <v>#VALUE!</v>
      </c>
      <c r="GP26">
        <f>IF('Ark1'!737:737,"AAAAAFq258U=",0)</f>
        <v>0</v>
      </c>
      <c r="GQ26" t="e">
        <f>AND('Ark1'!A737,"AAAAAFq258Y=")</f>
        <v>#VALUE!</v>
      </c>
      <c r="GR26" t="e">
        <f>AND('Ark1'!B737,"AAAAAFq258c=")</f>
        <v>#VALUE!</v>
      </c>
      <c r="GS26" t="e">
        <f>AND('Ark1'!C737,"AAAAAFq258g=")</f>
        <v>#VALUE!</v>
      </c>
      <c r="GT26" t="e">
        <f>AND('Ark1'!D737,"AAAAAFq258k=")</f>
        <v>#VALUE!</v>
      </c>
      <c r="GU26" t="e">
        <f>AND('Ark1'!E737,"AAAAAFq258o=")</f>
        <v>#VALUE!</v>
      </c>
      <c r="GV26" t="e">
        <f>AND('Ark1'!F737,"AAAAAFq258s=")</f>
        <v>#VALUE!</v>
      </c>
      <c r="GW26" t="e">
        <f>AND('Ark1'!G737,"AAAAAFq258w=")</f>
        <v>#VALUE!</v>
      </c>
      <c r="GX26" t="e">
        <f>AND('Ark1'!H737,"AAAAAFq2580=")</f>
        <v>#VALUE!</v>
      </c>
      <c r="GY26">
        <f>IF('Ark1'!738:738,"AAAAAFq2584=",0)</f>
        <v>0</v>
      </c>
      <c r="GZ26" t="e">
        <f>AND('Ark1'!A738,"AAAAAFq2588=")</f>
        <v>#VALUE!</v>
      </c>
      <c r="HA26" t="e">
        <f>AND('Ark1'!B738,"AAAAAFq259A=")</f>
        <v>#VALUE!</v>
      </c>
      <c r="HB26" t="e">
        <f>AND('Ark1'!C738,"AAAAAFq259E=")</f>
        <v>#VALUE!</v>
      </c>
      <c r="HC26" t="e">
        <f>AND('Ark1'!D738,"AAAAAFq259I=")</f>
        <v>#VALUE!</v>
      </c>
      <c r="HD26" t="e">
        <f>AND('Ark1'!E738,"AAAAAFq259M=")</f>
        <v>#VALUE!</v>
      </c>
      <c r="HE26" t="e">
        <f>AND('Ark1'!F738,"AAAAAFq259Q=")</f>
        <v>#VALUE!</v>
      </c>
      <c r="HF26" t="e">
        <f>AND('Ark1'!G738,"AAAAAFq259U=")</f>
        <v>#VALUE!</v>
      </c>
      <c r="HG26" t="e">
        <f>AND('Ark1'!H738,"AAAAAFq259Y=")</f>
        <v>#VALUE!</v>
      </c>
      <c r="HH26">
        <f>IF('Ark1'!739:739,"AAAAAFq259c=",0)</f>
        <v>0</v>
      </c>
      <c r="HI26" t="e">
        <f>AND('Ark1'!A739,"AAAAAFq259g=")</f>
        <v>#VALUE!</v>
      </c>
      <c r="HJ26" t="e">
        <f>AND('Ark1'!B739,"AAAAAFq259k=")</f>
        <v>#VALUE!</v>
      </c>
      <c r="HK26" t="e">
        <f>AND('Ark1'!C739,"AAAAAFq259o=")</f>
        <v>#VALUE!</v>
      </c>
      <c r="HL26" t="e">
        <f>AND('Ark1'!D739,"AAAAAFq259s=")</f>
        <v>#VALUE!</v>
      </c>
      <c r="HM26" t="e">
        <f>AND('Ark1'!E739,"AAAAAFq259w=")</f>
        <v>#VALUE!</v>
      </c>
      <c r="HN26" t="e">
        <f>AND('Ark1'!F739,"AAAAAFq2590=")</f>
        <v>#VALUE!</v>
      </c>
      <c r="HO26" t="e">
        <f>AND('Ark1'!G739,"AAAAAFq2594=")</f>
        <v>#VALUE!</v>
      </c>
      <c r="HP26" t="e">
        <f>AND('Ark1'!H739,"AAAAAFq2598=")</f>
        <v>#VALUE!</v>
      </c>
      <c r="HQ26">
        <f>IF('Ark1'!740:740,"AAAAAFq25+A=",0)</f>
        <v>0</v>
      </c>
      <c r="HR26" t="e">
        <f>AND('Ark1'!A740,"AAAAAFq25+E=")</f>
        <v>#VALUE!</v>
      </c>
      <c r="HS26" t="e">
        <f>AND('Ark1'!B740,"AAAAAFq25+I=")</f>
        <v>#VALUE!</v>
      </c>
      <c r="HT26" t="e">
        <f>AND('Ark1'!C740,"AAAAAFq25+M=")</f>
        <v>#VALUE!</v>
      </c>
      <c r="HU26" t="e">
        <f>AND('Ark1'!D740,"AAAAAFq25+Q=")</f>
        <v>#VALUE!</v>
      </c>
      <c r="HV26" t="e">
        <f>AND('Ark1'!E740,"AAAAAFq25+U=")</f>
        <v>#VALUE!</v>
      </c>
      <c r="HW26" t="e">
        <f>AND('Ark1'!F740,"AAAAAFq25+Y=")</f>
        <v>#VALUE!</v>
      </c>
      <c r="HX26" t="e">
        <f>AND('Ark1'!G740,"AAAAAFq25+c=")</f>
        <v>#VALUE!</v>
      </c>
      <c r="HY26" t="e">
        <f>AND('Ark1'!H740,"AAAAAFq25+g=")</f>
        <v>#VALUE!</v>
      </c>
      <c r="HZ26">
        <f>IF('Ark1'!741:741,"AAAAAFq25+k=",0)</f>
        <v>0</v>
      </c>
      <c r="IA26" t="e">
        <f>AND('Ark1'!A741,"AAAAAFq25+o=")</f>
        <v>#VALUE!</v>
      </c>
      <c r="IB26" t="e">
        <f>AND('Ark1'!B741,"AAAAAFq25+s=")</f>
        <v>#VALUE!</v>
      </c>
      <c r="IC26" t="e">
        <f>AND('Ark1'!C741,"AAAAAFq25+w=")</f>
        <v>#VALUE!</v>
      </c>
      <c r="ID26" t="e">
        <f>AND('Ark1'!D741,"AAAAAFq25+0=")</f>
        <v>#VALUE!</v>
      </c>
      <c r="IE26" t="e">
        <f>AND('Ark1'!E741,"AAAAAFq25+4=")</f>
        <v>#VALUE!</v>
      </c>
      <c r="IF26" t="e">
        <f>AND('Ark1'!F741,"AAAAAFq25+8=")</f>
        <v>#VALUE!</v>
      </c>
      <c r="IG26" t="e">
        <f>AND('Ark1'!G741,"AAAAAFq25/A=")</f>
        <v>#VALUE!</v>
      </c>
      <c r="IH26" t="e">
        <f>AND('Ark1'!H741,"AAAAAFq25/E=")</f>
        <v>#VALUE!</v>
      </c>
      <c r="II26">
        <f>IF('Ark1'!742:742,"AAAAAFq25/I=",0)</f>
        <v>0</v>
      </c>
      <c r="IJ26" t="e">
        <f>AND('Ark1'!A742,"AAAAAFq25/M=")</f>
        <v>#VALUE!</v>
      </c>
      <c r="IK26" t="e">
        <f>AND('Ark1'!B742,"AAAAAFq25/Q=")</f>
        <v>#VALUE!</v>
      </c>
      <c r="IL26" t="e">
        <f>AND('Ark1'!C742,"AAAAAFq25/U=")</f>
        <v>#VALUE!</v>
      </c>
      <c r="IM26" t="e">
        <f>AND('Ark1'!D742,"AAAAAFq25/Y=")</f>
        <v>#VALUE!</v>
      </c>
      <c r="IN26" t="e">
        <f>AND('Ark1'!E742,"AAAAAFq25/c=")</f>
        <v>#VALUE!</v>
      </c>
      <c r="IO26" t="e">
        <f>AND('Ark1'!F742,"AAAAAFq25/g=")</f>
        <v>#VALUE!</v>
      </c>
      <c r="IP26" t="e">
        <f>AND('Ark1'!G742,"AAAAAFq25/k=")</f>
        <v>#VALUE!</v>
      </c>
      <c r="IQ26" t="e">
        <f>AND('Ark1'!H742,"AAAAAFq25/o=")</f>
        <v>#VALUE!</v>
      </c>
      <c r="IR26">
        <f>IF('Ark1'!743:743,"AAAAAFq25/s=",0)</f>
        <v>0</v>
      </c>
      <c r="IS26" t="e">
        <f>AND('Ark1'!A743,"AAAAAFq25/w=")</f>
        <v>#VALUE!</v>
      </c>
      <c r="IT26" t="e">
        <f>AND('Ark1'!B743,"AAAAAFq25/0=")</f>
        <v>#VALUE!</v>
      </c>
      <c r="IU26" t="e">
        <f>AND('Ark1'!C743,"AAAAAFq25/4=")</f>
        <v>#VALUE!</v>
      </c>
      <c r="IV26" t="e">
        <f>AND('Ark1'!D743,"AAAAAFq25/8=")</f>
        <v>#VALUE!</v>
      </c>
    </row>
    <row r="27" spans="1:256" x14ac:dyDescent="0.25">
      <c r="A27" t="e">
        <f>AND('Ark1'!E743,"AAAAAH/+7wA=")</f>
        <v>#VALUE!</v>
      </c>
      <c r="B27" t="e">
        <f>AND('Ark1'!F743,"AAAAAH/+7wE=")</f>
        <v>#VALUE!</v>
      </c>
      <c r="C27" t="e">
        <f>AND('Ark1'!G743,"AAAAAH/+7wI=")</f>
        <v>#VALUE!</v>
      </c>
      <c r="D27" t="e">
        <f>AND('Ark1'!H743,"AAAAAH/+7wM=")</f>
        <v>#VALUE!</v>
      </c>
      <c r="E27">
        <f>IF('Ark1'!744:744,"AAAAAH/+7wQ=",0)</f>
        <v>0</v>
      </c>
      <c r="F27" t="e">
        <f>AND('Ark1'!A744,"AAAAAH/+7wU=")</f>
        <v>#VALUE!</v>
      </c>
      <c r="G27" t="e">
        <f>AND('Ark1'!B744,"AAAAAH/+7wY=")</f>
        <v>#VALUE!</v>
      </c>
      <c r="H27" t="e">
        <f>AND('Ark1'!C744,"AAAAAH/+7wc=")</f>
        <v>#VALUE!</v>
      </c>
      <c r="I27" t="e">
        <f>AND('Ark1'!D744,"AAAAAH/+7wg=")</f>
        <v>#VALUE!</v>
      </c>
      <c r="J27" t="e">
        <f>AND('Ark1'!E744,"AAAAAH/+7wk=")</f>
        <v>#VALUE!</v>
      </c>
      <c r="K27" t="e">
        <f>AND('Ark1'!F744,"AAAAAH/+7wo=")</f>
        <v>#VALUE!</v>
      </c>
      <c r="L27" t="e">
        <f>AND('Ark1'!G744,"AAAAAH/+7ws=")</f>
        <v>#VALUE!</v>
      </c>
      <c r="M27" t="e">
        <f>AND('Ark1'!H744,"AAAAAH/+7ww=")</f>
        <v>#VALUE!</v>
      </c>
      <c r="N27">
        <f>IF('Ark1'!745:745,"AAAAAH/+7w0=",0)</f>
        <v>0</v>
      </c>
      <c r="O27" t="e">
        <f>AND('Ark1'!A745,"AAAAAH/+7w4=")</f>
        <v>#VALUE!</v>
      </c>
      <c r="P27" t="e">
        <f>AND('Ark1'!B745,"AAAAAH/+7w8=")</f>
        <v>#VALUE!</v>
      </c>
      <c r="Q27" t="e">
        <f>AND('Ark1'!C745,"AAAAAH/+7xA=")</f>
        <v>#VALUE!</v>
      </c>
      <c r="R27" t="e">
        <f>AND('Ark1'!D745,"AAAAAH/+7xE=")</f>
        <v>#VALUE!</v>
      </c>
      <c r="S27" t="e">
        <f>AND('Ark1'!E745,"AAAAAH/+7xI=")</f>
        <v>#VALUE!</v>
      </c>
      <c r="T27" t="e">
        <f>AND('Ark1'!F745,"AAAAAH/+7xM=")</f>
        <v>#VALUE!</v>
      </c>
      <c r="U27" t="e">
        <f>AND('Ark1'!G745,"AAAAAH/+7xQ=")</f>
        <v>#VALUE!</v>
      </c>
      <c r="V27" t="e">
        <f>AND('Ark1'!H745,"AAAAAH/+7xU=")</f>
        <v>#VALUE!</v>
      </c>
      <c r="W27">
        <f>IF('Ark1'!746:746,"AAAAAH/+7xY=",0)</f>
        <v>0</v>
      </c>
      <c r="X27" t="e">
        <f>AND('Ark1'!A746,"AAAAAH/+7xc=")</f>
        <v>#VALUE!</v>
      </c>
      <c r="Y27" t="e">
        <f>AND('Ark1'!B746,"AAAAAH/+7xg=")</f>
        <v>#VALUE!</v>
      </c>
      <c r="Z27" t="e">
        <f>AND('Ark1'!C746,"AAAAAH/+7xk=")</f>
        <v>#VALUE!</v>
      </c>
      <c r="AA27" t="e">
        <f>AND('Ark1'!D746,"AAAAAH/+7xo=")</f>
        <v>#VALUE!</v>
      </c>
      <c r="AB27" t="e">
        <f>AND('Ark1'!E746,"AAAAAH/+7xs=")</f>
        <v>#VALUE!</v>
      </c>
      <c r="AC27" t="e">
        <f>AND('Ark1'!F746,"AAAAAH/+7xw=")</f>
        <v>#VALUE!</v>
      </c>
      <c r="AD27" t="e">
        <f>AND('Ark1'!G746,"AAAAAH/+7x0=")</f>
        <v>#VALUE!</v>
      </c>
      <c r="AE27" t="e">
        <f>AND('Ark1'!H746,"AAAAAH/+7x4=")</f>
        <v>#VALUE!</v>
      </c>
      <c r="AF27">
        <f>IF('Ark1'!747:747,"AAAAAH/+7x8=",0)</f>
        <v>0</v>
      </c>
      <c r="AG27" t="e">
        <f>AND('Ark1'!A747,"AAAAAH/+7yA=")</f>
        <v>#VALUE!</v>
      </c>
      <c r="AH27" t="e">
        <f>AND('Ark1'!B747,"AAAAAH/+7yE=")</f>
        <v>#VALUE!</v>
      </c>
      <c r="AI27" t="e">
        <f>AND('Ark1'!C747,"AAAAAH/+7yI=")</f>
        <v>#VALUE!</v>
      </c>
      <c r="AJ27" t="e">
        <f>AND('Ark1'!D747,"AAAAAH/+7yM=")</f>
        <v>#VALUE!</v>
      </c>
      <c r="AK27" t="e">
        <f>AND('Ark1'!E747,"AAAAAH/+7yQ=")</f>
        <v>#VALUE!</v>
      </c>
      <c r="AL27" t="e">
        <f>AND('Ark1'!F747,"AAAAAH/+7yU=")</f>
        <v>#VALUE!</v>
      </c>
      <c r="AM27" t="e">
        <f>AND('Ark1'!G747,"AAAAAH/+7yY=")</f>
        <v>#VALUE!</v>
      </c>
      <c r="AN27" t="e">
        <f>AND('Ark1'!H747,"AAAAAH/+7yc=")</f>
        <v>#VALUE!</v>
      </c>
      <c r="AO27">
        <f>IF('Ark1'!748:748,"AAAAAH/+7yg=",0)</f>
        <v>0</v>
      </c>
      <c r="AP27" t="e">
        <f>AND('Ark1'!A748,"AAAAAH/+7yk=")</f>
        <v>#VALUE!</v>
      </c>
      <c r="AQ27" t="e">
        <f>AND('Ark1'!B748,"AAAAAH/+7yo=")</f>
        <v>#VALUE!</v>
      </c>
      <c r="AR27" t="e">
        <f>AND('Ark1'!C748,"AAAAAH/+7ys=")</f>
        <v>#VALUE!</v>
      </c>
      <c r="AS27" t="e">
        <f>AND('Ark1'!D748,"AAAAAH/+7yw=")</f>
        <v>#VALUE!</v>
      </c>
      <c r="AT27" t="e">
        <f>AND('Ark1'!E748,"AAAAAH/+7y0=")</f>
        <v>#VALUE!</v>
      </c>
      <c r="AU27" t="e">
        <f>AND('Ark1'!F748,"AAAAAH/+7y4=")</f>
        <v>#VALUE!</v>
      </c>
      <c r="AV27" t="e">
        <f>AND('Ark1'!G748,"AAAAAH/+7y8=")</f>
        <v>#VALUE!</v>
      </c>
      <c r="AW27" t="e">
        <f>AND('Ark1'!H748,"AAAAAH/+7zA=")</f>
        <v>#VALUE!</v>
      </c>
      <c r="AX27">
        <f>IF('Ark1'!749:749,"AAAAAH/+7zE=",0)</f>
        <v>0</v>
      </c>
      <c r="AY27" t="e">
        <f>AND('Ark1'!A749,"AAAAAH/+7zI=")</f>
        <v>#VALUE!</v>
      </c>
      <c r="AZ27" t="e">
        <f>AND('Ark1'!B749,"AAAAAH/+7zM=")</f>
        <v>#VALUE!</v>
      </c>
      <c r="BA27" t="e">
        <f>AND('Ark1'!C749,"AAAAAH/+7zQ=")</f>
        <v>#VALUE!</v>
      </c>
      <c r="BB27" t="e">
        <f>AND('Ark1'!D749,"AAAAAH/+7zU=")</f>
        <v>#VALUE!</v>
      </c>
      <c r="BC27" t="e">
        <f>AND('Ark1'!E749,"AAAAAH/+7zY=")</f>
        <v>#VALUE!</v>
      </c>
      <c r="BD27" t="e">
        <f>AND('Ark1'!F749,"AAAAAH/+7zc=")</f>
        <v>#VALUE!</v>
      </c>
      <c r="BE27" t="e">
        <f>AND('Ark1'!G749,"AAAAAH/+7zg=")</f>
        <v>#VALUE!</v>
      </c>
      <c r="BF27" t="e">
        <f>AND('Ark1'!H749,"AAAAAH/+7zk=")</f>
        <v>#VALUE!</v>
      </c>
      <c r="BG27">
        <f>IF('Ark1'!750:750,"AAAAAH/+7zo=",0)</f>
        <v>0</v>
      </c>
      <c r="BH27" t="e">
        <f>AND('Ark1'!A750,"AAAAAH/+7zs=")</f>
        <v>#VALUE!</v>
      </c>
      <c r="BI27" t="e">
        <f>AND('Ark1'!B750,"AAAAAH/+7zw=")</f>
        <v>#VALUE!</v>
      </c>
      <c r="BJ27" t="e">
        <f>AND('Ark1'!C750,"AAAAAH/+7z0=")</f>
        <v>#VALUE!</v>
      </c>
      <c r="BK27" t="e">
        <f>AND('Ark1'!D750,"AAAAAH/+7z4=")</f>
        <v>#VALUE!</v>
      </c>
      <c r="BL27" t="e">
        <f>AND('Ark1'!E750,"AAAAAH/+7z8=")</f>
        <v>#VALUE!</v>
      </c>
      <c r="BM27" t="e">
        <f>AND('Ark1'!F750,"AAAAAH/+70A=")</f>
        <v>#VALUE!</v>
      </c>
      <c r="BN27" t="e">
        <f>AND('Ark1'!G750,"AAAAAH/+70E=")</f>
        <v>#VALUE!</v>
      </c>
      <c r="BO27" t="e">
        <f>AND('Ark1'!H750,"AAAAAH/+70I=")</f>
        <v>#VALUE!</v>
      </c>
      <c r="BP27">
        <f>IF('Ark1'!751:751,"AAAAAH/+70M=",0)</f>
        <v>0</v>
      </c>
      <c r="BQ27" t="e">
        <f>AND('Ark1'!A751,"AAAAAH/+70Q=")</f>
        <v>#VALUE!</v>
      </c>
      <c r="BR27" t="e">
        <f>AND('Ark1'!B751,"AAAAAH/+70U=")</f>
        <v>#VALUE!</v>
      </c>
      <c r="BS27" t="e">
        <f>AND('Ark1'!C751,"AAAAAH/+70Y=")</f>
        <v>#VALUE!</v>
      </c>
      <c r="BT27" t="e">
        <f>AND('Ark1'!D751,"AAAAAH/+70c=")</f>
        <v>#VALUE!</v>
      </c>
      <c r="BU27" t="e">
        <f>AND('Ark1'!E751,"AAAAAH/+70g=")</f>
        <v>#VALUE!</v>
      </c>
      <c r="BV27" t="e">
        <f>AND('Ark1'!F751,"AAAAAH/+70k=")</f>
        <v>#VALUE!</v>
      </c>
      <c r="BW27" t="e">
        <f>AND('Ark1'!G751,"AAAAAH/+70o=")</f>
        <v>#VALUE!</v>
      </c>
      <c r="BX27" t="e">
        <f>AND('Ark1'!H751,"AAAAAH/+70s=")</f>
        <v>#VALUE!</v>
      </c>
      <c r="BY27">
        <f>IF('Ark1'!752:752,"AAAAAH/+70w=",0)</f>
        <v>0</v>
      </c>
      <c r="BZ27" t="e">
        <f>AND('Ark1'!A752,"AAAAAH/+700=")</f>
        <v>#VALUE!</v>
      </c>
      <c r="CA27" t="e">
        <f>AND('Ark1'!B752,"AAAAAH/+704=")</f>
        <v>#VALUE!</v>
      </c>
      <c r="CB27" t="e">
        <f>AND('Ark1'!C752,"AAAAAH/+708=")</f>
        <v>#VALUE!</v>
      </c>
      <c r="CC27" t="e">
        <f>AND('Ark1'!D752,"AAAAAH/+71A=")</f>
        <v>#VALUE!</v>
      </c>
      <c r="CD27" t="e">
        <f>AND('Ark1'!E752,"AAAAAH/+71E=")</f>
        <v>#VALUE!</v>
      </c>
      <c r="CE27" t="e">
        <f>AND('Ark1'!F752,"AAAAAH/+71I=")</f>
        <v>#VALUE!</v>
      </c>
      <c r="CF27" t="e">
        <f>AND('Ark1'!G752,"AAAAAH/+71M=")</f>
        <v>#VALUE!</v>
      </c>
      <c r="CG27" t="e">
        <f>AND('Ark1'!H752,"AAAAAH/+71Q=")</f>
        <v>#VALUE!</v>
      </c>
      <c r="CH27">
        <f>IF('Ark1'!753:753,"AAAAAH/+71U=",0)</f>
        <v>0</v>
      </c>
      <c r="CI27" t="e">
        <f>AND('Ark1'!A753,"AAAAAH/+71Y=")</f>
        <v>#VALUE!</v>
      </c>
      <c r="CJ27" t="e">
        <f>AND('Ark1'!B753,"AAAAAH/+71c=")</f>
        <v>#VALUE!</v>
      </c>
      <c r="CK27" t="e">
        <f>AND('Ark1'!C753,"AAAAAH/+71g=")</f>
        <v>#VALUE!</v>
      </c>
      <c r="CL27" t="e">
        <f>AND('Ark1'!D753,"AAAAAH/+71k=")</f>
        <v>#VALUE!</v>
      </c>
      <c r="CM27" t="e">
        <f>AND('Ark1'!E753,"AAAAAH/+71o=")</f>
        <v>#VALUE!</v>
      </c>
      <c r="CN27" t="e">
        <f>AND('Ark1'!F753,"AAAAAH/+71s=")</f>
        <v>#VALUE!</v>
      </c>
      <c r="CO27" t="e">
        <f>AND('Ark1'!G753,"AAAAAH/+71w=")</f>
        <v>#VALUE!</v>
      </c>
      <c r="CP27" t="e">
        <f>AND('Ark1'!H753,"AAAAAH/+710=")</f>
        <v>#VALUE!</v>
      </c>
      <c r="CQ27">
        <f>IF('Ark1'!754:754,"AAAAAH/+714=",0)</f>
        <v>0</v>
      </c>
      <c r="CR27" t="e">
        <f>AND('Ark1'!A754,"AAAAAH/+718=")</f>
        <v>#VALUE!</v>
      </c>
      <c r="CS27" t="e">
        <f>AND('Ark1'!B754,"AAAAAH/+72A=")</f>
        <v>#VALUE!</v>
      </c>
      <c r="CT27" t="e">
        <f>AND('Ark1'!C754,"AAAAAH/+72E=")</f>
        <v>#VALUE!</v>
      </c>
      <c r="CU27" t="e">
        <f>AND('Ark1'!D754,"AAAAAH/+72I=")</f>
        <v>#VALUE!</v>
      </c>
      <c r="CV27" t="e">
        <f>AND('Ark1'!E754,"AAAAAH/+72M=")</f>
        <v>#VALUE!</v>
      </c>
      <c r="CW27" t="e">
        <f>AND('Ark1'!F754,"AAAAAH/+72Q=")</f>
        <v>#VALUE!</v>
      </c>
      <c r="CX27" t="e">
        <f>AND('Ark1'!G754,"AAAAAH/+72U=")</f>
        <v>#VALUE!</v>
      </c>
      <c r="CY27" t="e">
        <f>AND('Ark1'!H754,"AAAAAH/+72Y=")</f>
        <v>#VALUE!</v>
      </c>
      <c r="CZ27">
        <f>IF('Ark1'!755:755,"AAAAAH/+72c=",0)</f>
        <v>0</v>
      </c>
      <c r="DA27" t="e">
        <f>AND('Ark1'!A755,"AAAAAH/+72g=")</f>
        <v>#VALUE!</v>
      </c>
      <c r="DB27" t="e">
        <f>AND('Ark1'!B755,"AAAAAH/+72k=")</f>
        <v>#VALUE!</v>
      </c>
      <c r="DC27" t="e">
        <f>AND('Ark1'!C755,"AAAAAH/+72o=")</f>
        <v>#VALUE!</v>
      </c>
      <c r="DD27" t="e">
        <f>AND('Ark1'!D755,"AAAAAH/+72s=")</f>
        <v>#VALUE!</v>
      </c>
      <c r="DE27" t="e">
        <f>AND('Ark1'!E755,"AAAAAH/+72w=")</f>
        <v>#VALUE!</v>
      </c>
      <c r="DF27" t="e">
        <f>AND('Ark1'!F755,"AAAAAH/+720=")</f>
        <v>#VALUE!</v>
      </c>
      <c r="DG27" t="e">
        <f>AND('Ark1'!G755,"AAAAAH/+724=")</f>
        <v>#VALUE!</v>
      </c>
      <c r="DH27" t="e">
        <f>AND('Ark1'!H755,"AAAAAH/+728=")</f>
        <v>#VALUE!</v>
      </c>
      <c r="DI27">
        <f>IF('Ark1'!756:756,"AAAAAH/+73A=",0)</f>
        <v>0</v>
      </c>
      <c r="DJ27" t="e">
        <f>AND('Ark1'!A756,"AAAAAH/+73E=")</f>
        <v>#VALUE!</v>
      </c>
      <c r="DK27" t="e">
        <f>AND('Ark1'!B756,"AAAAAH/+73I=")</f>
        <v>#VALUE!</v>
      </c>
      <c r="DL27" t="e">
        <f>AND('Ark1'!C756,"AAAAAH/+73M=")</f>
        <v>#VALUE!</v>
      </c>
      <c r="DM27" t="e">
        <f>AND('Ark1'!D756,"AAAAAH/+73Q=")</f>
        <v>#VALUE!</v>
      </c>
      <c r="DN27" t="e">
        <f>AND('Ark1'!E756,"AAAAAH/+73U=")</f>
        <v>#VALUE!</v>
      </c>
      <c r="DO27" t="e">
        <f>AND('Ark1'!F756,"AAAAAH/+73Y=")</f>
        <v>#VALUE!</v>
      </c>
      <c r="DP27" t="e">
        <f>AND('Ark1'!G756,"AAAAAH/+73c=")</f>
        <v>#VALUE!</v>
      </c>
      <c r="DQ27" t="e">
        <f>AND('Ark1'!H756,"AAAAAH/+73g=")</f>
        <v>#VALUE!</v>
      </c>
      <c r="DR27">
        <f>IF('Ark1'!757:757,"AAAAAH/+73k=",0)</f>
        <v>0</v>
      </c>
      <c r="DS27" t="e">
        <f>AND('Ark1'!A757,"AAAAAH/+73o=")</f>
        <v>#VALUE!</v>
      </c>
      <c r="DT27" t="e">
        <f>AND('Ark1'!B757,"AAAAAH/+73s=")</f>
        <v>#VALUE!</v>
      </c>
      <c r="DU27" t="e">
        <f>AND('Ark1'!C757,"AAAAAH/+73w=")</f>
        <v>#VALUE!</v>
      </c>
      <c r="DV27" t="e">
        <f>AND('Ark1'!D757,"AAAAAH/+730=")</f>
        <v>#VALUE!</v>
      </c>
      <c r="DW27" t="e">
        <f>AND('Ark1'!E757,"AAAAAH/+734=")</f>
        <v>#VALUE!</v>
      </c>
      <c r="DX27" t="e">
        <f>AND('Ark1'!F757,"AAAAAH/+738=")</f>
        <v>#VALUE!</v>
      </c>
      <c r="DY27" t="e">
        <f>AND('Ark1'!G757,"AAAAAH/+74A=")</f>
        <v>#VALUE!</v>
      </c>
      <c r="DZ27" t="e">
        <f>AND('Ark1'!H757,"AAAAAH/+74E=")</f>
        <v>#VALUE!</v>
      </c>
      <c r="EA27">
        <f>IF('Ark1'!758:758,"AAAAAH/+74I=",0)</f>
        <v>0</v>
      </c>
      <c r="EB27" t="e">
        <f>AND('Ark1'!A758,"AAAAAH/+74M=")</f>
        <v>#VALUE!</v>
      </c>
      <c r="EC27" t="e">
        <f>AND('Ark1'!B758,"AAAAAH/+74Q=")</f>
        <v>#VALUE!</v>
      </c>
      <c r="ED27" t="e">
        <f>AND('Ark1'!C758,"AAAAAH/+74U=")</f>
        <v>#VALUE!</v>
      </c>
      <c r="EE27" t="e">
        <f>AND('Ark1'!D758,"AAAAAH/+74Y=")</f>
        <v>#VALUE!</v>
      </c>
      <c r="EF27" t="e">
        <f>AND('Ark1'!E758,"AAAAAH/+74c=")</f>
        <v>#VALUE!</v>
      </c>
      <c r="EG27" t="e">
        <f>AND('Ark1'!F758,"AAAAAH/+74g=")</f>
        <v>#VALUE!</v>
      </c>
      <c r="EH27" t="e">
        <f>AND('Ark1'!G758,"AAAAAH/+74k=")</f>
        <v>#VALUE!</v>
      </c>
      <c r="EI27" t="e">
        <f>AND('Ark1'!H758,"AAAAAH/+74o=")</f>
        <v>#VALUE!</v>
      </c>
      <c r="EJ27">
        <f>IF('Ark1'!759:759,"AAAAAH/+74s=",0)</f>
        <v>0</v>
      </c>
      <c r="EK27" t="e">
        <f>AND('Ark1'!A759,"AAAAAH/+74w=")</f>
        <v>#VALUE!</v>
      </c>
      <c r="EL27" t="e">
        <f>AND('Ark1'!B759,"AAAAAH/+740=")</f>
        <v>#VALUE!</v>
      </c>
      <c r="EM27" t="e">
        <f>AND('Ark1'!C759,"AAAAAH/+744=")</f>
        <v>#VALUE!</v>
      </c>
      <c r="EN27" t="e">
        <f>AND('Ark1'!D759,"AAAAAH/+748=")</f>
        <v>#VALUE!</v>
      </c>
      <c r="EO27" t="e">
        <f>AND('Ark1'!E759,"AAAAAH/+75A=")</f>
        <v>#VALUE!</v>
      </c>
      <c r="EP27" t="e">
        <f>AND('Ark1'!F759,"AAAAAH/+75E=")</f>
        <v>#VALUE!</v>
      </c>
      <c r="EQ27" t="e">
        <f>AND('Ark1'!G759,"AAAAAH/+75I=")</f>
        <v>#VALUE!</v>
      </c>
      <c r="ER27" t="e">
        <f>AND('Ark1'!H759,"AAAAAH/+75M=")</f>
        <v>#VALUE!</v>
      </c>
      <c r="ES27">
        <f>IF('Ark1'!760:760,"AAAAAH/+75Q=",0)</f>
        <v>0</v>
      </c>
      <c r="ET27" t="e">
        <f>AND('Ark1'!A760,"AAAAAH/+75U=")</f>
        <v>#VALUE!</v>
      </c>
      <c r="EU27" t="e">
        <f>AND('Ark1'!B760,"AAAAAH/+75Y=")</f>
        <v>#VALUE!</v>
      </c>
      <c r="EV27" t="e">
        <f>AND('Ark1'!C760,"AAAAAH/+75c=")</f>
        <v>#VALUE!</v>
      </c>
      <c r="EW27" t="e">
        <f>AND('Ark1'!D760,"AAAAAH/+75g=")</f>
        <v>#VALUE!</v>
      </c>
      <c r="EX27" t="e">
        <f>AND('Ark1'!E760,"AAAAAH/+75k=")</f>
        <v>#VALUE!</v>
      </c>
      <c r="EY27" t="e">
        <f>AND('Ark1'!F760,"AAAAAH/+75o=")</f>
        <v>#VALUE!</v>
      </c>
      <c r="EZ27" t="e">
        <f>AND('Ark1'!G760,"AAAAAH/+75s=")</f>
        <v>#VALUE!</v>
      </c>
      <c r="FA27" t="e">
        <f>AND('Ark1'!H760,"AAAAAH/+75w=")</f>
        <v>#VALUE!</v>
      </c>
      <c r="FB27">
        <f>IF('Ark1'!761:761,"AAAAAH/+750=",0)</f>
        <v>0</v>
      </c>
      <c r="FC27" t="e">
        <f>AND('Ark1'!A761,"AAAAAH/+754=")</f>
        <v>#VALUE!</v>
      </c>
      <c r="FD27" t="e">
        <f>AND('Ark1'!B761,"AAAAAH/+758=")</f>
        <v>#VALUE!</v>
      </c>
      <c r="FE27" t="e">
        <f>AND('Ark1'!C761,"AAAAAH/+76A=")</f>
        <v>#VALUE!</v>
      </c>
      <c r="FF27" t="e">
        <f>AND('Ark1'!D761,"AAAAAH/+76E=")</f>
        <v>#VALUE!</v>
      </c>
      <c r="FG27" t="e">
        <f>AND('Ark1'!E761,"AAAAAH/+76I=")</f>
        <v>#VALUE!</v>
      </c>
      <c r="FH27" t="e">
        <f>AND('Ark1'!F761,"AAAAAH/+76M=")</f>
        <v>#VALUE!</v>
      </c>
      <c r="FI27" t="e">
        <f>AND('Ark1'!G761,"AAAAAH/+76Q=")</f>
        <v>#VALUE!</v>
      </c>
      <c r="FJ27" t="e">
        <f>AND('Ark1'!H761,"AAAAAH/+76U=")</f>
        <v>#VALUE!</v>
      </c>
      <c r="FK27">
        <f>IF('Ark1'!762:762,"AAAAAH/+76Y=",0)</f>
        <v>0</v>
      </c>
      <c r="FL27" t="e">
        <f>AND('Ark1'!A762,"AAAAAH/+76c=")</f>
        <v>#VALUE!</v>
      </c>
      <c r="FM27" t="e">
        <f>AND('Ark1'!B762,"AAAAAH/+76g=")</f>
        <v>#VALUE!</v>
      </c>
      <c r="FN27" t="e">
        <f>AND('Ark1'!C762,"AAAAAH/+76k=")</f>
        <v>#VALUE!</v>
      </c>
      <c r="FO27" t="e">
        <f>AND('Ark1'!D762,"AAAAAH/+76o=")</f>
        <v>#VALUE!</v>
      </c>
      <c r="FP27" t="e">
        <f>AND('Ark1'!E762,"AAAAAH/+76s=")</f>
        <v>#VALUE!</v>
      </c>
      <c r="FQ27" t="e">
        <f>AND('Ark1'!F762,"AAAAAH/+76w=")</f>
        <v>#VALUE!</v>
      </c>
      <c r="FR27" t="e">
        <f>AND('Ark1'!G762,"AAAAAH/+760=")</f>
        <v>#VALUE!</v>
      </c>
      <c r="FS27" t="e">
        <f>AND('Ark1'!H762,"AAAAAH/+764=")</f>
        <v>#VALUE!</v>
      </c>
      <c r="FT27">
        <f>IF('Ark1'!763:763,"AAAAAH/+768=",0)</f>
        <v>0</v>
      </c>
      <c r="FU27" t="e">
        <f>AND('Ark1'!A763,"AAAAAH/+77A=")</f>
        <v>#VALUE!</v>
      </c>
      <c r="FV27" t="e">
        <f>AND('Ark1'!B763,"AAAAAH/+77E=")</f>
        <v>#VALUE!</v>
      </c>
      <c r="FW27" t="e">
        <f>AND('Ark1'!C763,"AAAAAH/+77I=")</f>
        <v>#VALUE!</v>
      </c>
      <c r="FX27" t="e">
        <f>AND('Ark1'!D763,"AAAAAH/+77M=")</f>
        <v>#VALUE!</v>
      </c>
      <c r="FY27" t="e">
        <f>AND('Ark1'!E763,"AAAAAH/+77Q=")</f>
        <v>#VALUE!</v>
      </c>
      <c r="FZ27" t="e">
        <f>AND('Ark1'!F763,"AAAAAH/+77U=")</f>
        <v>#VALUE!</v>
      </c>
      <c r="GA27" t="e">
        <f>AND('Ark1'!G763,"AAAAAH/+77Y=")</f>
        <v>#VALUE!</v>
      </c>
      <c r="GB27" t="e">
        <f>AND('Ark1'!H763,"AAAAAH/+77c=")</f>
        <v>#VALUE!</v>
      </c>
      <c r="GC27">
        <f>IF('Ark1'!764:764,"AAAAAH/+77g=",0)</f>
        <v>0</v>
      </c>
      <c r="GD27" t="e">
        <f>AND('Ark1'!A764,"AAAAAH/+77k=")</f>
        <v>#VALUE!</v>
      </c>
      <c r="GE27" t="e">
        <f>AND('Ark1'!B764,"AAAAAH/+77o=")</f>
        <v>#VALUE!</v>
      </c>
      <c r="GF27" t="e">
        <f>AND('Ark1'!C764,"AAAAAH/+77s=")</f>
        <v>#VALUE!</v>
      </c>
      <c r="GG27" t="e">
        <f>AND('Ark1'!D764,"AAAAAH/+77w=")</f>
        <v>#VALUE!</v>
      </c>
      <c r="GH27" t="e">
        <f>AND('Ark1'!E764,"AAAAAH/+770=")</f>
        <v>#VALUE!</v>
      </c>
      <c r="GI27" t="e">
        <f>AND('Ark1'!F764,"AAAAAH/+774=")</f>
        <v>#VALUE!</v>
      </c>
      <c r="GJ27" t="e">
        <f>AND('Ark1'!G764,"AAAAAH/+778=")</f>
        <v>#VALUE!</v>
      </c>
      <c r="GK27" t="e">
        <f>AND('Ark1'!H764,"AAAAAH/+78A=")</f>
        <v>#VALUE!</v>
      </c>
      <c r="GL27">
        <f>IF('Ark1'!765:765,"AAAAAH/+78E=",0)</f>
        <v>0</v>
      </c>
      <c r="GM27" t="e">
        <f>AND('Ark1'!A765,"AAAAAH/+78I=")</f>
        <v>#VALUE!</v>
      </c>
      <c r="GN27" t="e">
        <f>AND('Ark1'!B765,"AAAAAH/+78M=")</f>
        <v>#VALUE!</v>
      </c>
      <c r="GO27" t="e">
        <f>AND('Ark1'!C765,"AAAAAH/+78Q=")</f>
        <v>#VALUE!</v>
      </c>
      <c r="GP27" t="e">
        <f>AND('Ark1'!D765,"AAAAAH/+78U=")</f>
        <v>#VALUE!</v>
      </c>
      <c r="GQ27" t="e">
        <f>AND('Ark1'!E765,"AAAAAH/+78Y=")</f>
        <v>#VALUE!</v>
      </c>
      <c r="GR27" t="e">
        <f>AND('Ark1'!F765,"AAAAAH/+78c=")</f>
        <v>#VALUE!</v>
      </c>
      <c r="GS27" t="e">
        <f>AND('Ark1'!G765,"AAAAAH/+78g=")</f>
        <v>#VALUE!</v>
      </c>
      <c r="GT27" t="e">
        <f>AND('Ark1'!H765,"AAAAAH/+78k=")</f>
        <v>#VALUE!</v>
      </c>
      <c r="GU27">
        <f>IF('Ark1'!766:766,"AAAAAH/+78o=",0)</f>
        <v>0</v>
      </c>
      <c r="GV27" t="e">
        <f>AND('Ark1'!A766,"AAAAAH/+78s=")</f>
        <v>#VALUE!</v>
      </c>
      <c r="GW27" t="e">
        <f>AND('Ark1'!B766,"AAAAAH/+78w=")</f>
        <v>#VALUE!</v>
      </c>
      <c r="GX27" t="e">
        <f>AND('Ark1'!C766,"AAAAAH/+780=")</f>
        <v>#VALUE!</v>
      </c>
      <c r="GY27" t="e">
        <f>AND('Ark1'!D766,"AAAAAH/+784=")</f>
        <v>#VALUE!</v>
      </c>
      <c r="GZ27" t="e">
        <f>AND('Ark1'!E766,"AAAAAH/+788=")</f>
        <v>#VALUE!</v>
      </c>
      <c r="HA27" t="e">
        <f>AND('Ark1'!F766,"AAAAAH/+79A=")</f>
        <v>#VALUE!</v>
      </c>
      <c r="HB27" t="e">
        <f>AND('Ark1'!G766,"AAAAAH/+79E=")</f>
        <v>#VALUE!</v>
      </c>
      <c r="HC27" t="e">
        <f>AND('Ark1'!H766,"AAAAAH/+79I=")</f>
        <v>#VALUE!</v>
      </c>
      <c r="HD27">
        <f>IF('Ark1'!767:767,"AAAAAH/+79M=",0)</f>
        <v>0</v>
      </c>
      <c r="HE27" t="e">
        <f>AND('Ark1'!A767,"AAAAAH/+79Q=")</f>
        <v>#VALUE!</v>
      </c>
      <c r="HF27" t="e">
        <f>AND('Ark1'!B767,"AAAAAH/+79U=")</f>
        <v>#VALUE!</v>
      </c>
      <c r="HG27" t="e">
        <f>AND('Ark1'!C767,"AAAAAH/+79Y=")</f>
        <v>#VALUE!</v>
      </c>
      <c r="HH27" t="e">
        <f>AND('Ark1'!D767,"AAAAAH/+79c=")</f>
        <v>#VALUE!</v>
      </c>
      <c r="HI27" t="e">
        <f>AND('Ark1'!E767,"AAAAAH/+79g=")</f>
        <v>#VALUE!</v>
      </c>
      <c r="HJ27" t="e">
        <f>AND('Ark1'!F767,"AAAAAH/+79k=")</f>
        <v>#VALUE!</v>
      </c>
      <c r="HK27" t="e">
        <f>AND('Ark1'!G767,"AAAAAH/+79o=")</f>
        <v>#VALUE!</v>
      </c>
      <c r="HL27" t="e">
        <f>AND('Ark1'!H767,"AAAAAH/+79s=")</f>
        <v>#VALUE!</v>
      </c>
      <c r="HM27">
        <f>IF('Ark1'!768:768,"AAAAAH/+79w=",0)</f>
        <v>0</v>
      </c>
      <c r="HN27" t="e">
        <f>AND('Ark1'!A768,"AAAAAH/+790=")</f>
        <v>#VALUE!</v>
      </c>
      <c r="HO27" t="e">
        <f>AND('Ark1'!B768,"AAAAAH/+794=")</f>
        <v>#VALUE!</v>
      </c>
      <c r="HP27" t="e">
        <f>AND('Ark1'!C768,"AAAAAH/+798=")</f>
        <v>#VALUE!</v>
      </c>
      <c r="HQ27" t="e">
        <f>AND('Ark1'!D768,"AAAAAH/+7+A=")</f>
        <v>#VALUE!</v>
      </c>
      <c r="HR27" t="e">
        <f>AND('Ark1'!E768,"AAAAAH/+7+E=")</f>
        <v>#VALUE!</v>
      </c>
      <c r="HS27" t="e">
        <f>AND('Ark1'!F768,"AAAAAH/+7+I=")</f>
        <v>#VALUE!</v>
      </c>
      <c r="HT27" t="e">
        <f>AND('Ark1'!G768,"AAAAAH/+7+M=")</f>
        <v>#VALUE!</v>
      </c>
      <c r="HU27" t="e">
        <f>AND('Ark1'!H768,"AAAAAH/+7+Q=")</f>
        <v>#VALUE!</v>
      </c>
      <c r="HV27">
        <f>IF('Ark1'!769:769,"AAAAAH/+7+U=",0)</f>
        <v>0</v>
      </c>
      <c r="HW27" t="e">
        <f>AND('Ark1'!A769,"AAAAAH/+7+Y=")</f>
        <v>#VALUE!</v>
      </c>
      <c r="HX27" t="e">
        <f>AND('Ark1'!B769,"AAAAAH/+7+c=")</f>
        <v>#VALUE!</v>
      </c>
      <c r="HY27" t="e">
        <f>AND('Ark1'!C769,"AAAAAH/+7+g=")</f>
        <v>#VALUE!</v>
      </c>
      <c r="HZ27" t="e">
        <f>AND('Ark1'!D769,"AAAAAH/+7+k=")</f>
        <v>#VALUE!</v>
      </c>
      <c r="IA27" t="e">
        <f>AND('Ark1'!E769,"AAAAAH/+7+o=")</f>
        <v>#VALUE!</v>
      </c>
      <c r="IB27" t="e">
        <f>AND('Ark1'!F769,"AAAAAH/+7+s=")</f>
        <v>#VALUE!</v>
      </c>
      <c r="IC27" t="e">
        <f>AND('Ark1'!G769,"AAAAAH/+7+w=")</f>
        <v>#VALUE!</v>
      </c>
      <c r="ID27" t="e">
        <f>AND('Ark1'!H769,"AAAAAH/+7+0=")</f>
        <v>#VALUE!</v>
      </c>
      <c r="IE27">
        <f>IF('Ark1'!770:770,"AAAAAH/+7+4=",0)</f>
        <v>0</v>
      </c>
      <c r="IF27" t="e">
        <f>AND('Ark1'!A770,"AAAAAH/+7+8=")</f>
        <v>#VALUE!</v>
      </c>
      <c r="IG27" t="e">
        <f>AND('Ark1'!B770,"AAAAAH/+7/A=")</f>
        <v>#VALUE!</v>
      </c>
      <c r="IH27" t="e">
        <f>AND('Ark1'!C770,"AAAAAH/+7/E=")</f>
        <v>#VALUE!</v>
      </c>
      <c r="II27" t="e">
        <f>AND('Ark1'!D770,"AAAAAH/+7/I=")</f>
        <v>#VALUE!</v>
      </c>
      <c r="IJ27" t="e">
        <f>AND('Ark1'!E770,"AAAAAH/+7/M=")</f>
        <v>#VALUE!</v>
      </c>
      <c r="IK27" t="e">
        <f>AND('Ark1'!F770,"AAAAAH/+7/Q=")</f>
        <v>#VALUE!</v>
      </c>
      <c r="IL27" t="e">
        <f>AND('Ark1'!G770,"AAAAAH/+7/U=")</f>
        <v>#VALUE!</v>
      </c>
      <c r="IM27" t="e">
        <f>AND('Ark1'!H770,"AAAAAH/+7/Y=")</f>
        <v>#VALUE!</v>
      </c>
      <c r="IN27">
        <f>IF('Ark1'!771:771,"AAAAAH/+7/c=",0)</f>
        <v>0</v>
      </c>
      <c r="IO27" t="e">
        <f>AND('Ark1'!A771,"AAAAAH/+7/g=")</f>
        <v>#VALUE!</v>
      </c>
      <c r="IP27" t="e">
        <f>AND('Ark1'!B771,"AAAAAH/+7/k=")</f>
        <v>#VALUE!</v>
      </c>
      <c r="IQ27" t="e">
        <f>AND('Ark1'!C771,"AAAAAH/+7/o=")</f>
        <v>#VALUE!</v>
      </c>
      <c r="IR27" t="e">
        <f>AND('Ark1'!D771,"AAAAAH/+7/s=")</f>
        <v>#VALUE!</v>
      </c>
      <c r="IS27" t="e">
        <f>AND('Ark1'!E771,"AAAAAH/+7/w=")</f>
        <v>#VALUE!</v>
      </c>
      <c r="IT27" t="e">
        <f>AND('Ark1'!F771,"AAAAAH/+7/0=")</f>
        <v>#VALUE!</v>
      </c>
      <c r="IU27" t="e">
        <f>AND('Ark1'!G771,"AAAAAH/+7/4=")</f>
        <v>#VALUE!</v>
      </c>
      <c r="IV27" t="e">
        <f>AND('Ark1'!H771,"AAAAAH/+7/8=")</f>
        <v>#VALUE!</v>
      </c>
    </row>
    <row r="28" spans="1:256" x14ac:dyDescent="0.25">
      <c r="A28" t="e">
        <f>IF('Ark1'!772:772,"AAAAAHfarwA=",0)</f>
        <v>#VALUE!</v>
      </c>
      <c r="B28" t="e">
        <f>AND('Ark1'!A772,"AAAAAHfarwE=")</f>
        <v>#VALUE!</v>
      </c>
      <c r="C28" t="e">
        <f>AND('Ark1'!B772,"AAAAAHfarwI=")</f>
        <v>#VALUE!</v>
      </c>
      <c r="D28" t="e">
        <f>AND('Ark1'!C772,"AAAAAHfarwM=")</f>
        <v>#VALUE!</v>
      </c>
      <c r="E28" t="e">
        <f>AND('Ark1'!D772,"AAAAAHfarwQ=")</f>
        <v>#VALUE!</v>
      </c>
      <c r="F28" t="e">
        <f>AND('Ark1'!E772,"AAAAAHfarwU=")</f>
        <v>#VALUE!</v>
      </c>
      <c r="G28" t="e">
        <f>AND('Ark1'!F772,"AAAAAHfarwY=")</f>
        <v>#VALUE!</v>
      </c>
      <c r="H28" t="e">
        <f>AND('Ark1'!G772,"AAAAAHfarwc=")</f>
        <v>#VALUE!</v>
      </c>
      <c r="I28" t="e">
        <f>AND('Ark1'!H772,"AAAAAHfarwg=")</f>
        <v>#VALUE!</v>
      </c>
      <c r="J28">
        <f>IF('Ark1'!773:773,"AAAAAHfarwk=",0)</f>
        <v>0</v>
      </c>
      <c r="K28" t="e">
        <f>AND('Ark1'!A773,"AAAAAHfarwo=")</f>
        <v>#VALUE!</v>
      </c>
      <c r="L28" t="e">
        <f>AND('Ark1'!B773,"AAAAAHfarws=")</f>
        <v>#VALUE!</v>
      </c>
      <c r="M28" t="e">
        <f>AND('Ark1'!C773,"AAAAAHfarww=")</f>
        <v>#VALUE!</v>
      </c>
      <c r="N28" t="e">
        <f>AND('Ark1'!D773,"AAAAAHfarw0=")</f>
        <v>#VALUE!</v>
      </c>
      <c r="O28" t="e">
        <f>AND('Ark1'!E773,"AAAAAHfarw4=")</f>
        <v>#VALUE!</v>
      </c>
      <c r="P28" t="e">
        <f>AND('Ark1'!F773,"AAAAAHfarw8=")</f>
        <v>#VALUE!</v>
      </c>
      <c r="Q28" t="e">
        <f>AND('Ark1'!G773,"AAAAAHfarxA=")</f>
        <v>#VALUE!</v>
      </c>
      <c r="R28" t="e">
        <f>AND('Ark1'!H773,"AAAAAHfarxE=")</f>
        <v>#VALUE!</v>
      </c>
      <c r="S28">
        <f>IF('Ark1'!774:774,"AAAAAHfarxI=",0)</f>
        <v>0</v>
      </c>
      <c r="T28" t="e">
        <f>AND('Ark1'!A774,"AAAAAHfarxM=")</f>
        <v>#VALUE!</v>
      </c>
      <c r="U28" t="e">
        <f>AND('Ark1'!B774,"AAAAAHfarxQ=")</f>
        <v>#VALUE!</v>
      </c>
      <c r="V28" t="e">
        <f>AND('Ark1'!C774,"AAAAAHfarxU=")</f>
        <v>#VALUE!</v>
      </c>
      <c r="W28" t="e">
        <f>AND('Ark1'!D774,"AAAAAHfarxY=")</f>
        <v>#VALUE!</v>
      </c>
      <c r="X28" t="e">
        <f>AND('Ark1'!E774,"AAAAAHfarxc=")</f>
        <v>#VALUE!</v>
      </c>
      <c r="Y28" t="e">
        <f>AND('Ark1'!F774,"AAAAAHfarxg=")</f>
        <v>#VALUE!</v>
      </c>
      <c r="Z28" t="e">
        <f>AND('Ark1'!G774,"AAAAAHfarxk=")</f>
        <v>#VALUE!</v>
      </c>
      <c r="AA28" t="e">
        <f>AND('Ark1'!H774,"AAAAAHfarxo=")</f>
        <v>#VALUE!</v>
      </c>
      <c r="AB28">
        <f>IF('Ark1'!775:775,"AAAAAHfarxs=",0)</f>
        <v>0</v>
      </c>
      <c r="AC28" t="e">
        <f>AND('Ark1'!A775,"AAAAAHfarxw=")</f>
        <v>#VALUE!</v>
      </c>
      <c r="AD28" t="e">
        <f>AND('Ark1'!B775,"AAAAAHfarx0=")</f>
        <v>#VALUE!</v>
      </c>
      <c r="AE28" t="e">
        <f>AND('Ark1'!C775,"AAAAAHfarx4=")</f>
        <v>#VALUE!</v>
      </c>
      <c r="AF28" t="e">
        <f>AND('Ark1'!D775,"AAAAAHfarx8=")</f>
        <v>#VALUE!</v>
      </c>
      <c r="AG28" t="e">
        <f>AND('Ark1'!E775,"AAAAAHfaryA=")</f>
        <v>#VALUE!</v>
      </c>
      <c r="AH28" t="e">
        <f>AND('Ark1'!F775,"AAAAAHfaryE=")</f>
        <v>#VALUE!</v>
      </c>
      <c r="AI28" t="e">
        <f>AND('Ark1'!G775,"AAAAAHfaryI=")</f>
        <v>#VALUE!</v>
      </c>
      <c r="AJ28" t="e">
        <f>AND('Ark1'!H775,"AAAAAHfaryM=")</f>
        <v>#VALUE!</v>
      </c>
      <c r="AK28">
        <f>IF('Ark1'!776:776,"AAAAAHfaryQ=",0)</f>
        <v>0</v>
      </c>
      <c r="AL28" t="e">
        <f>AND('Ark1'!A776,"AAAAAHfaryU=")</f>
        <v>#VALUE!</v>
      </c>
      <c r="AM28" t="e">
        <f>AND('Ark1'!B776,"AAAAAHfaryY=")</f>
        <v>#VALUE!</v>
      </c>
      <c r="AN28" t="e">
        <f>AND('Ark1'!C776,"AAAAAHfaryc=")</f>
        <v>#VALUE!</v>
      </c>
      <c r="AO28" t="e">
        <f>AND('Ark1'!D776,"AAAAAHfaryg=")</f>
        <v>#VALUE!</v>
      </c>
      <c r="AP28" t="e">
        <f>AND('Ark1'!E776,"AAAAAHfaryk=")</f>
        <v>#VALUE!</v>
      </c>
      <c r="AQ28" t="e">
        <f>AND('Ark1'!F776,"AAAAAHfaryo=")</f>
        <v>#VALUE!</v>
      </c>
      <c r="AR28" t="e">
        <f>AND('Ark1'!G776,"AAAAAHfarys=")</f>
        <v>#VALUE!</v>
      </c>
      <c r="AS28" t="e">
        <f>AND('Ark1'!H776,"AAAAAHfaryw=")</f>
        <v>#VALUE!</v>
      </c>
      <c r="AT28">
        <f>IF('Ark1'!777:777,"AAAAAHfary0=",0)</f>
        <v>0</v>
      </c>
      <c r="AU28" t="e">
        <f>AND('Ark1'!A777,"AAAAAHfary4=")</f>
        <v>#VALUE!</v>
      </c>
      <c r="AV28" t="e">
        <f>AND('Ark1'!B777,"AAAAAHfary8=")</f>
        <v>#VALUE!</v>
      </c>
      <c r="AW28" t="e">
        <f>AND('Ark1'!C777,"AAAAAHfarzA=")</f>
        <v>#VALUE!</v>
      </c>
      <c r="AX28" t="e">
        <f>AND('Ark1'!D777,"AAAAAHfarzE=")</f>
        <v>#VALUE!</v>
      </c>
      <c r="AY28" t="e">
        <f>AND('Ark1'!E777,"AAAAAHfarzI=")</f>
        <v>#VALUE!</v>
      </c>
      <c r="AZ28" t="e">
        <f>AND('Ark1'!F777,"AAAAAHfarzM=")</f>
        <v>#VALUE!</v>
      </c>
      <c r="BA28" t="e">
        <f>AND('Ark1'!G777,"AAAAAHfarzQ=")</f>
        <v>#VALUE!</v>
      </c>
      <c r="BB28" t="e">
        <f>AND('Ark1'!H777,"AAAAAHfarzU=")</f>
        <v>#VALUE!</v>
      </c>
      <c r="BC28">
        <f>IF('Ark1'!778:778,"AAAAAHfarzY=",0)</f>
        <v>0</v>
      </c>
      <c r="BD28" t="e">
        <f>AND('Ark1'!A778,"AAAAAHfarzc=")</f>
        <v>#VALUE!</v>
      </c>
      <c r="BE28" t="e">
        <f>AND('Ark1'!B778,"AAAAAHfarzg=")</f>
        <v>#VALUE!</v>
      </c>
      <c r="BF28" t="e">
        <f>AND('Ark1'!C778,"AAAAAHfarzk=")</f>
        <v>#VALUE!</v>
      </c>
      <c r="BG28" t="e">
        <f>AND('Ark1'!D778,"AAAAAHfarzo=")</f>
        <v>#VALUE!</v>
      </c>
      <c r="BH28" t="e">
        <f>AND('Ark1'!E778,"AAAAAHfarzs=")</f>
        <v>#VALUE!</v>
      </c>
      <c r="BI28" t="e">
        <f>AND('Ark1'!F778,"AAAAAHfarzw=")</f>
        <v>#VALUE!</v>
      </c>
      <c r="BJ28" t="e">
        <f>AND('Ark1'!G778,"AAAAAHfarz0=")</f>
        <v>#VALUE!</v>
      </c>
      <c r="BK28" t="e">
        <f>AND('Ark1'!H778,"AAAAAHfarz4=")</f>
        <v>#VALUE!</v>
      </c>
      <c r="BL28">
        <f>IF('Ark1'!779:779,"AAAAAHfarz8=",0)</f>
        <v>0</v>
      </c>
      <c r="BM28" t="e">
        <f>AND('Ark1'!A779,"AAAAAHfar0A=")</f>
        <v>#VALUE!</v>
      </c>
      <c r="BN28" t="e">
        <f>AND('Ark1'!B779,"AAAAAHfar0E=")</f>
        <v>#VALUE!</v>
      </c>
      <c r="BO28" t="e">
        <f>AND('Ark1'!C779,"AAAAAHfar0I=")</f>
        <v>#VALUE!</v>
      </c>
      <c r="BP28" t="e">
        <f>AND('Ark1'!D779,"AAAAAHfar0M=")</f>
        <v>#VALUE!</v>
      </c>
      <c r="BQ28" t="e">
        <f>AND('Ark1'!E779,"AAAAAHfar0Q=")</f>
        <v>#VALUE!</v>
      </c>
      <c r="BR28" t="e">
        <f>AND('Ark1'!F779,"AAAAAHfar0U=")</f>
        <v>#VALUE!</v>
      </c>
      <c r="BS28" t="e">
        <f>AND('Ark1'!G779,"AAAAAHfar0Y=")</f>
        <v>#VALUE!</v>
      </c>
      <c r="BT28" t="e">
        <f>AND('Ark1'!H779,"AAAAAHfar0c=")</f>
        <v>#VALUE!</v>
      </c>
      <c r="BU28">
        <f>IF('Ark1'!780:780,"AAAAAHfar0g=",0)</f>
        <v>0</v>
      </c>
      <c r="BV28" t="e">
        <f>AND('Ark1'!A780,"AAAAAHfar0k=")</f>
        <v>#VALUE!</v>
      </c>
      <c r="BW28" t="e">
        <f>AND('Ark1'!B780,"AAAAAHfar0o=")</f>
        <v>#VALUE!</v>
      </c>
      <c r="BX28" t="e">
        <f>AND('Ark1'!C780,"AAAAAHfar0s=")</f>
        <v>#VALUE!</v>
      </c>
      <c r="BY28" t="e">
        <f>AND('Ark1'!D780,"AAAAAHfar0w=")</f>
        <v>#VALUE!</v>
      </c>
      <c r="BZ28" t="e">
        <f>AND('Ark1'!E780,"AAAAAHfar00=")</f>
        <v>#VALUE!</v>
      </c>
      <c r="CA28" t="e">
        <f>AND('Ark1'!F780,"AAAAAHfar04=")</f>
        <v>#VALUE!</v>
      </c>
      <c r="CB28" t="e">
        <f>AND('Ark1'!G780,"AAAAAHfar08=")</f>
        <v>#VALUE!</v>
      </c>
      <c r="CC28" t="e">
        <f>AND('Ark1'!H780,"AAAAAHfar1A=")</f>
        <v>#VALUE!</v>
      </c>
      <c r="CD28">
        <f>IF('Ark1'!781:781,"AAAAAHfar1E=",0)</f>
        <v>0</v>
      </c>
      <c r="CE28" t="e">
        <f>AND('Ark1'!A781,"AAAAAHfar1I=")</f>
        <v>#VALUE!</v>
      </c>
      <c r="CF28" t="e">
        <f>AND('Ark1'!B781,"AAAAAHfar1M=")</f>
        <v>#VALUE!</v>
      </c>
      <c r="CG28" t="e">
        <f>AND('Ark1'!C781,"AAAAAHfar1Q=")</f>
        <v>#VALUE!</v>
      </c>
      <c r="CH28" t="e">
        <f>AND('Ark1'!D781,"AAAAAHfar1U=")</f>
        <v>#VALUE!</v>
      </c>
      <c r="CI28" t="e">
        <f>AND('Ark1'!E781,"AAAAAHfar1Y=")</f>
        <v>#VALUE!</v>
      </c>
      <c r="CJ28" t="e">
        <f>AND('Ark1'!F781,"AAAAAHfar1c=")</f>
        <v>#VALUE!</v>
      </c>
      <c r="CK28" t="e">
        <f>AND('Ark1'!G781,"AAAAAHfar1g=")</f>
        <v>#VALUE!</v>
      </c>
      <c r="CL28" t="e">
        <f>AND('Ark1'!H781,"AAAAAHfar1k=")</f>
        <v>#VALUE!</v>
      </c>
      <c r="CM28">
        <f>IF('Ark1'!782:782,"AAAAAHfar1o=",0)</f>
        <v>0</v>
      </c>
      <c r="CN28" t="e">
        <f>AND('Ark1'!A782,"AAAAAHfar1s=")</f>
        <v>#VALUE!</v>
      </c>
      <c r="CO28" t="e">
        <f>AND('Ark1'!B782,"AAAAAHfar1w=")</f>
        <v>#VALUE!</v>
      </c>
      <c r="CP28" t="e">
        <f>AND('Ark1'!C782,"AAAAAHfar10=")</f>
        <v>#VALUE!</v>
      </c>
      <c r="CQ28" t="e">
        <f>AND('Ark1'!D782,"AAAAAHfar14=")</f>
        <v>#VALUE!</v>
      </c>
      <c r="CR28" t="e">
        <f>AND('Ark1'!E782,"AAAAAHfar18=")</f>
        <v>#VALUE!</v>
      </c>
      <c r="CS28" t="e">
        <f>AND('Ark1'!F782,"AAAAAHfar2A=")</f>
        <v>#VALUE!</v>
      </c>
      <c r="CT28" t="e">
        <f>AND('Ark1'!G782,"AAAAAHfar2E=")</f>
        <v>#VALUE!</v>
      </c>
      <c r="CU28" t="e">
        <f>AND('Ark1'!H782,"AAAAAHfar2I=")</f>
        <v>#VALUE!</v>
      </c>
      <c r="CV28">
        <f>IF('Ark1'!783:783,"AAAAAHfar2M=",0)</f>
        <v>0</v>
      </c>
      <c r="CW28" t="e">
        <f>AND('Ark1'!A783,"AAAAAHfar2Q=")</f>
        <v>#VALUE!</v>
      </c>
      <c r="CX28" t="e">
        <f>AND('Ark1'!B783,"AAAAAHfar2U=")</f>
        <v>#VALUE!</v>
      </c>
      <c r="CY28" t="e">
        <f>AND('Ark1'!C783,"AAAAAHfar2Y=")</f>
        <v>#VALUE!</v>
      </c>
      <c r="CZ28" t="e">
        <f>AND('Ark1'!D783,"AAAAAHfar2c=")</f>
        <v>#VALUE!</v>
      </c>
      <c r="DA28" t="e">
        <f>AND('Ark1'!E783,"AAAAAHfar2g=")</f>
        <v>#VALUE!</v>
      </c>
      <c r="DB28" t="e">
        <f>AND('Ark1'!F783,"AAAAAHfar2k=")</f>
        <v>#VALUE!</v>
      </c>
      <c r="DC28" t="e">
        <f>AND('Ark1'!G783,"AAAAAHfar2o=")</f>
        <v>#VALUE!</v>
      </c>
      <c r="DD28" t="e">
        <f>AND('Ark1'!H783,"AAAAAHfar2s=")</f>
        <v>#VALUE!</v>
      </c>
      <c r="DE28">
        <f>IF('Ark1'!784:784,"AAAAAHfar2w=",0)</f>
        <v>0</v>
      </c>
      <c r="DF28" t="e">
        <f>AND('Ark1'!A784,"AAAAAHfar20=")</f>
        <v>#VALUE!</v>
      </c>
      <c r="DG28" t="e">
        <f>AND('Ark1'!B784,"AAAAAHfar24=")</f>
        <v>#VALUE!</v>
      </c>
      <c r="DH28" t="e">
        <f>AND('Ark1'!C784,"AAAAAHfar28=")</f>
        <v>#VALUE!</v>
      </c>
      <c r="DI28" t="e">
        <f>AND('Ark1'!D784,"AAAAAHfar3A=")</f>
        <v>#VALUE!</v>
      </c>
      <c r="DJ28" t="e">
        <f>AND('Ark1'!E784,"AAAAAHfar3E=")</f>
        <v>#VALUE!</v>
      </c>
      <c r="DK28" t="e">
        <f>AND('Ark1'!F784,"AAAAAHfar3I=")</f>
        <v>#VALUE!</v>
      </c>
      <c r="DL28" t="e">
        <f>AND('Ark1'!G784,"AAAAAHfar3M=")</f>
        <v>#VALUE!</v>
      </c>
      <c r="DM28" t="e">
        <f>AND('Ark1'!H784,"AAAAAHfar3Q=")</f>
        <v>#VALUE!</v>
      </c>
      <c r="DN28">
        <f>IF('Ark1'!785:785,"AAAAAHfar3U=",0)</f>
        <v>0</v>
      </c>
      <c r="DO28" t="e">
        <f>AND('Ark1'!A785,"AAAAAHfar3Y=")</f>
        <v>#VALUE!</v>
      </c>
      <c r="DP28" t="e">
        <f>AND('Ark1'!B785,"AAAAAHfar3c=")</f>
        <v>#VALUE!</v>
      </c>
      <c r="DQ28" t="e">
        <f>AND('Ark1'!C785,"AAAAAHfar3g=")</f>
        <v>#VALUE!</v>
      </c>
      <c r="DR28" t="e">
        <f>AND('Ark1'!D785,"AAAAAHfar3k=")</f>
        <v>#VALUE!</v>
      </c>
      <c r="DS28" t="e">
        <f>AND('Ark1'!E785,"AAAAAHfar3o=")</f>
        <v>#VALUE!</v>
      </c>
      <c r="DT28" t="e">
        <f>AND('Ark1'!F785,"AAAAAHfar3s=")</f>
        <v>#VALUE!</v>
      </c>
      <c r="DU28" t="e">
        <f>AND('Ark1'!G785,"AAAAAHfar3w=")</f>
        <v>#VALUE!</v>
      </c>
      <c r="DV28" t="e">
        <f>AND('Ark1'!H785,"AAAAAHfar30=")</f>
        <v>#VALUE!</v>
      </c>
      <c r="DW28">
        <f>IF('Ark1'!786:786,"AAAAAHfar34=",0)</f>
        <v>0</v>
      </c>
      <c r="DX28" t="e">
        <f>AND('Ark1'!A786,"AAAAAHfar38=")</f>
        <v>#VALUE!</v>
      </c>
      <c r="DY28" t="e">
        <f>AND('Ark1'!B786,"AAAAAHfar4A=")</f>
        <v>#VALUE!</v>
      </c>
      <c r="DZ28" t="e">
        <f>AND('Ark1'!C786,"AAAAAHfar4E=")</f>
        <v>#VALUE!</v>
      </c>
      <c r="EA28" t="e">
        <f>AND('Ark1'!D786,"AAAAAHfar4I=")</f>
        <v>#VALUE!</v>
      </c>
      <c r="EB28" t="e">
        <f>AND('Ark1'!E786,"AAAAAHfar4M=")</f>
        <v>#VALUE!</v>
      </c>
      <c r="EC28" t="e">
        <f>AND('Ark1'!F786,"AAAAAHfar4Q=")</f>
        <v>#VALUE!</v>
      </c>
      <c r="ED28" t="e">
        <f>AND('Ark1'!G786,"AAAAAHfar4U=")</f>
        <v>#VALUE!</v>
      </c>
      <c r="EE28" t="e">
        <f>AND('Ark1'!H786,"AAAAAHfar4Y=")</f>
        <v>#VALUE!</v>
      </c>
      <c r="EF28">
        <f>IF('Ark1'!787:787,"AAAAAHfar4c=",0)</f>
        <v>0</v>
      </c>
      <c r="EG28" t="e">
        <f>AND('Ark1'!A787,"AAAAAHfar4g=")</f>
        <v>#VALUE!</v>
      </c>
      <c r="EH28" t="e">
        <f>AND('Ark1'!B787,"AAAAAHfar4k=")</f>
        <v>#VALUE!</v>
      </c>
      <c r="EI28" t="e">
        <f>AND('Ark1'!C787,"AAAAAHfar4o=")</f>
        <v>#VALUE!</v>
      </c>
      <c r="EJ28" t="e">
        <f>AND('Ark1'!D787,"AAAAAHfar4s=")</f>
        <v>#VALUE!</v>
      </c>
      <c r="EK28" t="e">
        <f>AND('Ark1'!E787,"AAAAAHfar4w=")</f>
        <v>#VALUE!</v>
      </c>
      <c r="EL28" t="e">
        <f>AND('Ark1'!F787,"AAAAAHfar40=")</f>
        <v>#VALUE!</v>
      </c>
      <c r="EM28" t="e">
        <f>AND('Ark1'!G787,"AAAAAHfar44=")</f>
        <v>#VALUE!</v>
      </c>
      <c r="EN28" t="e">
        <f>AND('Ark1'!H787,"AAAAAHfar48=")</f>
        <v>#VALUE!</v>
      </c>
      <c r="EO28">
        <f>IF('Ark1'!788:788,"AAAAAHfar5A=",0)</f>
        <v>0</v>
      </c>
      <c r="EP28" t="e">
        <f>AND('Ark1'!A788,"AAAAAHfar5E=")</f>
        <v>#VALUE!</v>
      </c>
      <c r="EQ28" t="e">
        <f>AND('Ark1'!B788,"AAAAAHfar5I=")</f>
        <v>#VALUE!</v>
      </c>
      <c r="ER28" t="e">
        <f>AND('Ark1'!C788,"AAAAAHfar5M=")</f>
        <v>#VALUE!</v>
      </c>
      <c r="ES28" t="e">
        <f>AND('Ark1'!D788,"AAAAAHfar5Q=")</f>
        <v>#VALUE!</v>
      </c>
      <c r="ET28" t="e">
        <f>AND('Ark1'!E788,"AAAAAHfar5U=")</f>
        <v>#VALUE!</v>
      </c>
      <c r="EU28" t="e">
        <f>AND('Ark1'!F788,"AAAAAHfar5Y=")</f>
        <v>#VALUE!</v>
      </c>
      <c r="EV28" t="e">
        <f>AND('Ark1'!G788,"AAAAAHfar5c=")</f>
        <v>#VALUE!</v>
      </c>
      <c r="EW28" t="e">
        <f>AND('Ark1'!H788,"AAAAAHfar5g=")</f>
        <v>#VALUE!</v>
      </c>
      <c r="EX28">
        <f>IF('Ark1'!789:789,"AAAAAHfar5k=",0)</f>
        <v>0</v>
      </c>
      <c r="EY28" t="e">
        <f>AND('Ark1'!A789,"AAAAAHfar5o=")</f>
        <v>#VALUE!</v>
      </c>
      <c r="EZ28" t="e">
        <f>AND('Ark1'!B789,"AAAAAHfar5s=")</f>
        <v>#VALUE!</v>
      </c>
      <c r="FA28" t="e">
        <f>AND('Ark1'!C789,"AAAAAHfar5w=")</f>
        <v>#VALUE!</v>
      </c>
      <c r="FB28" t="e">
        <f>AND('Ark1'!D789,"AAAAAHfar50=")</f>
        <v>#VALUE!</v>
      </c>
      <c r="FC28" t="e">
        <f>AND('Ark1'!E789,"AAAAAHfar54=")</f>
        <v>#VALUE!</v>
      </c>
      <c r="FD28" t="e">
        <f>AND('Ark1'!F789,"AAAAAHfar58=")</f>
        <v>#VALUE!</v>
      </c>
      <c r="FE28" t="e">
        <f>AND('Ark1'!G789,"AAAAAHfar6A=")</f>
        <v>#VALUE!</v>
      </c>
      <c r="FF28" t="e">
        <f>AND('Ark1'!H789,"AAAAAHfar6E=")</f>
        <v>#VALUE!</v>
      </c>
      <c r="FG28">
        <f>IF('Ark1'!790:790,"AAAAAHfar6I=",0)</f>
        <v>0</v>
      </c>
      <c r="FH28" t="e">
        <f>AND('Ark1'!A790,"AAAAAHfar6M=")</f>
        <v>#VALUE!</v>
      </c>
      <c r="FI28" t="e">
        <f>AND('Ark1'!B790,"AAAAAHfar6Q=")</f>
        <v>#VALUE!</v>
      </c>
      <c r="FJ28" t="e">
        <f>AND('Ark1'!C790,"AAAAAHfar6U=")</f>
        <v>#VALUE!</v>
      </c>
      <c r="FK28" t="e">
        <f>AND('Ark1'!D790,"AAAAAHfar6Y=")</f>
        <v>#VALUE!</v>
      </c>
      <c r="FL28" t="e">
        <f>AND('Ark1'!E790,"AAAAAHfar6c=")</f>
        <v>#VALUE!</v>
      </c>
      <c r="FM28" t="e">
        <f>AND('Ark1'!F790,"AAAAAHfar6g=")</f>
        <v>#VALUE!</v>
      </c>
      <c r="FN28" t="e">
        <f>AND('Ark1'!G790,"AAAAAHfar6k=")</f>
        <v>#VALUE!</v>
      </c>
      <c r="FO28" t="e">
        <f>AND('Ark1'!H790,"AAAAAHfar6o=")</f>
        <v>#VALUE!</v>
      </c>
      <c r="FP28">
        <f>IF('Ark1'!791:791,"AAAAAHfar6s=",0)</f>
        <v>0</v>
      </c>
      <c r="FQ28" t="e">
        <f>AND('Ark1'!A791,"AAAAAHfar6w=")</f>
        <v>#VALUE!</v>
      </c>
      <c r="FR28" t="e">
        <f>AND('Ark1'!B791,"AAAAAHfar60=")</f>
        <v>#VALUE!</v>
      </c>
      <c r="FS28" t="e">
        <f>AND('Ark1'!C791,"AAAAAHfar64=")</f>
        <v>#VALUE!</v>
      </c>
      <c r="FT28" t="e">
        <f>AND('Ark1'!D791,"AAAAAHfar68=")</f>
        <v>#VALUE!</v>
      </c>
      <c r="FU28" t="e">
        <f>AND('Ark1'!E791,"AAAAAHfar7A=")</f>
        <v>#VALUE!</v>
      </c>
      <c r="FV28" t="e">
        <f>AND('Ark1'!F791,"AAAAAHfar7E=")</f>
        <v>#VALUE!</v>
      </c>
      <c r="FW28" t="e">
        <f>AND('Ark1'!G791,"AAAAAHfar7I=")</f>
        <v>#VALUE!</v>
      </c>
      <c r="FX28" t="e">
        <f>AND('Ark1'!H791,"AAAAAHfar7M=")</f>
        <v>#VALUE!</v>
      </c>
      <c r="FY28">
        <f>IF('Ark1'!792:792,"AAAAAHfar7Q=",0)</f>
        <v>0</v>
      </c>
      <c r="FZ28" t="e">
        <f>AND('Ark1'!A792,"AAAAAHfar7U=")</f>
        <v>#VALUE!</v>
      </c>
      <c r="GA28" t="e">
        <f>AND('Ark1'!B792,"AAAAAHfar7Y=")</f>
        <v>#VALUE!</v>
      </c>
      <c r="GB28" t="e">
        <f>AND('Ark1'!C792,"AAAAAHfar7c=")</f>
        <v>#VALUE!</v>
      </c>
      <c r="GC28" t="e">
        <f>AND('Ark1'!D792,"AAAAAHfar7g=")</f>
        <v>#VALUE!</v>
      </c>
      <c r="GD28" t="e">
        <f>AND('Ark1'!E792,"AAAAAHfar7k=")</f>
        <v>#VALUE!</v>
      </c>
      <c r="GE28" t="e">
        <f>AND('Ark1'!F792,"AAAAAHfar7o=")</f>
        <v>#VALUE!</v>
      </c>
      <c r="GF28" t="e">
        <f>AND('Ark1'!G792,"AAAAAHfar7s=")</f>
        <v>#VALUE!</v>
      </c>
      <c r="GG28" t="e">
        <f>AND('Ark1'!H792,"AAAAAHfar7w=")</f>
        <v>#VALUE!</v>
      </c>
      <c r="GH28">
        <f>IF('Ark1'!793:793,"AAAAAHfar70=",0)</f>
        <v>0</v>
      </c>
      <c r="GI28" t="e">
        <f>AND('Ark1'!A793,"AAAAAHfar74=")</f>
        <v>#VALUE!</v>
      </c>
      <c r="GJ28" t="e">
        <f>AND('Ark1'!B793,"AAAAAHfar78=")</f>
        <v>#VALUE!</v>
      </c>
      <c r="GK28" t="e">
        <f>AND('Ark1'!C793,"AAAAAHfar8A=")</f>
        <v>#VALUE!</v>
      </c>
      <c r="GL28" t="e">
        <f>AND('Ark1'!D793,"AAAAAHfar8E=")</f>
        <v>#VALUE!</v>
      </c>
      <c r="GM28" t="e">
        <f>AND('Ark1'!E793,"AAAAAHfar8I=")</f>
        <v>#VALUE!</v>
      </c>
      <c r="GN28" t="e">
        <f>AND('Ark1'!F793,"AAAAAHfar8M=")</f>
        <v>#VALUE!</v>
      </c>
      <c r="GO28" t="e">
        <f>AND('Ark1'!G793,"AAAAAHfar8Q=")</f>
        <v>#VALUE!</v>
      </c>
      <c r="GP28" t="e">
        <f>AND('Ark1'!H793,"AAAAAHfar8U=")</f>
        <v>#VALUE!</v>
      </c>
      <c r="GQ28">
        <f>IF('Ark1'!794:794,"AAAAAHfar8Y=",0)</f>
        <v>0</v>
      </c>
      <c r="GR28" t="e">
        <f>AND('Ark1'!A794,"AAAAAHfar8c=")</f>
        <v>#VALUE!</v>
      </c>
      <c r="GS28" t="e">
        <f>AND('Ark1'!B794,"AAAAAHfar8g=")</f>
        <v>#VALUE!</v>
      </c>
      <c r="GT28" t="e">
        <f>AND('Ark1'!C794,"AAAAAHfar8k=")</f>
        <v>#VALUE!</v>
      </c>
      <c r="GU28" t="e">
        <f>AND('Ark1'!D794,"AAAAAHfar8o=")</f>
        <v>#VALUE!</v>
      </c>
      <c r="GV28" t="e">
        <f>AND('Ark1'!E794,"AAAAAHfar8s=")</f>
        <v>#VALUE!</v>
      </c>
      <c r="GW28" t="e">
        <f>AND('Ark1'!F794,"AAAAAHfar8w=")</f>
        <v>#VALUE!</v>
      </c>
      <c r="GX28" t="e">
        <f>AND('Ark1'!G794,"AAAAAHfar80=")</f>
        <v>#VALUE!</v>
      </c>
      <c r="GY28" t="e">
        <f>AND('Ark1'!H794,"AAAAAHfar84=")</f>
        <v>#VALUE!</v>
      </c>
      <c r="GZ28">
        <f>IF('Ark1'!795:795,"AAAAAHfar88=",0)</f>
        <v>0</v>
      </c>
      <c r="HA28" t="e">
        <f>AND('Ark1'!A795,"AAAAAHfar9A=")</f>
        <v>#VALUE!</v>
      </c>
      <c r="HB28" t="e">
        <f>AND('Ark1'!B795,"AAAAAHfar9E=")</f>
        <v>#VALUE!</v>
      </c>
      <c r="HC28" t="e">
        <f>AND('Ark1'!C795,"AAAAAHfar9I=")</f>
        <v>#VALUE!</v>
      </c>
      <c r="HD28" t="e">
        <f>AND('Ark1'!D795,"AAAAAHfar9M=")</f>
        <v>#VALUE!</v>
      </c>
      <c r="HE28" t="e">
        <f>AND('Ark1'!E795,"AAAAAHfar9Q=")</f>
        <v>#VALUE!</v>
      </c>
      <c r="HF28" t="e">
        <f>AND('Ark1'!F795,"AAAAAHfar9U=")</f>
        <v>#VALUE!</v>
      </c>
      <c r="HG28" t="e">
        <f>AND('Ark1'!G795,"AAAAAHfar9Y=")</f>
        <v>#VALUE!</v>
      </c>
      <c r="HH28" t="e">
        <f>AND('Ark1'!H795,"AAAAAHfar9c=")</f>
        <v>#VALUE!</v>
      </c>
      <c r="HI28">
        <f>IF('Ark1'!796:796,"AAAAAHfar9g=",0)</f>
        <v>0</v>
      </c>
      <c r="HJ28" t="e">
        <f>AND('Ark1'!A796,"AAAAAHfar9k=")</f>
        <v>#VALUE!</v>
      </c>
      <c r="HK28" t="e">
        <f>AND('Ark1'!B796,"AAAAAHfar9o=")</f>
        <v>#VALUE!</v>
      </c>
      <c r="HL28" t="e">
        <f>AND('Ark1'!C796,"AAAAAHfar9s=")</f>
        <v>#VALUE!</v>
      </c>
      <c r="HM28" t="e">
        <f>AND('Ark1'!D796,"AAAAAHfar9w=")</f>
        <v>#VALUE!</v>
      </c>
      <c r="HN28" t="e">
        <f>AND('Ark1'!E796,"AAAAAHfar90=")</f>
        <v>#VALUE!</v>
      </c>
      <c r="HO28" t="e">
        <f>AND('Ark1'!F796,"AAAAAHfar94=")</f>
        <v>#VALUE!</v>
      </c>
      <c r="HP28" t="e">
        <f>AND('Ark1'!G796,"AAAAAHfar98=")</f>
        <v>#VALUE!</v>
      </c>
      <c r="HQ28" t="e">
        <f>AND('Ark1'!H796,"AAAAAHfar+A=")</f>
        <v>#VALUE!</v>
      </c>
      <c r="HR28">
        <f>IF('Ark1'!797:797,"AAAAAHfar+E=",0)</f>
        <v>0</v>
      </c>
      <c r="HS28" t="e">
        <f>AND('Ark1'!A797,"AAAAAHfar+I=")</f>
        <v>#VALUE!</v>
      </c>
      <c r="HT28" t="e">
        <f>AND('Ark1'!B797,"AAAAAHfar+M=")</f>
        <v>#VALUE!</v>
      </c>
      <c r="HU28" t="e">
        <f>AND('Ark1'!C797,"AAAAAHfar+Q=")</f>
        <v>#VALUE!</v>
      </c>
      <c r="HV28" t="e">
        <f>AND('Ark1'!D797,"AAAAAHfar+U=")</f>
        <v>#VALUE!</v>
      </c>
      <c r="HW28" t="e">
        <f>AND('Ark1'!E797,"AAAAAHfar+Y=")</f>
        <v>#VALUE!</v>
      </c>
      <c r="HX28" t="e">
        <f>AND('Ark1'!F797,"AAAAAHfar+c=")</f>
        <v>#VALUE!</v>
      </c>
      <c r="HY28" t="e">
        <f>AND('Ark1'!G797,"AAAAAHfar+g=")</f>
        <v>#VALUE!</v>
      </c>
      <c r="HZ28" t="e">
        <f>AND('Ark1'!H797,"AAAAAHfar+k=")</f>
        <v>#VALUE!</v>
      </c>
      <c r="IA28">
        <f>IF('Ark1'!798:798,"AAAAAHfar+o=",0)</f>
        <v>0</v>
      </c>
      <c r="IB28" t="e">
        <f>AND('Ark1'!A798,"AAAAAHfar+s=")</f>
        <v>#VALUE!</v>
      </c>
      <c r="IC28" t="e">
        <f>AND('Ark1'!B798,"AAAAAHfar+w=")</f>
        <v>#VALUE!</v>
      </c>
      <c r="ID28" t="e">
        <f>AND('Ark1'!C798,"AAAAAHfar+0=")</f>
        <v>#VALUE!</v>
      </c>
      <c r="IE28" t="e">
        <f>AND('Ark1'!D798,"AAAAAHfar+4=")</f>
        <v>#VALUE!</v>
      </c>
      <c r="IF28" t="e">
        <f>AND('Ark1'!E798,"AAAAAHfar+8=")</f>
        <v>#VALUE!</v>
      </c>
      <c r="IG28" t="e">
        <f>AND('Ark1'!F798,"AAAAAHfar/A=")</f>
        <v>#VALUE!</v>
      </c>
      <c r="IH28" t="e">
        <f>AND('Ark1'!G798,"AAAAAHfar/E=")</f>
        <v>#VALUE!</v>
      </c>
      <c r="II28" t="e">
        <f>AND('Ark1'!H798,"AAAAAHfar/I=")</f>
        <v>#VALUE!</v>
      </c>
      <c r="IJ28">
        <f>IF('Ark1'!799:799,"AAAAAHfar/M=",0)</f>
        <v>0</v>
      </c>
      <c r="IK28" t="e">
        <f>AND('Ark1'!A799,"AAAAAHfar/Q=")</f>
        <v>#VALUE!</v>
      </c>
      <c r="IL28" t="e">
        <f>AND('Ark1'!B799,"AAAAAHfar/U=")</f>
        <v>#VALUE!</v>
      </c>
      <c r="IM28" t="e">
        <f>AND('Ark1'!C799,"AAAAAHfar/Y=")</f>
        <v>#VALUE!</v>
      </c>
      <c r="IN28" t="e">
        <f>AND('Ark1'!D799,"AAAAAHfar/c=")</f>
        <v>#VALUE!</v>
      </c>
      <c r="IO28" t="e">
        <f>AND('Ark1'!E799,"AAAAAHfar/g=")</f>
        <v>#VALUE!</v>
      </c>
      <c r="IP28" t="e">
        <f>AND('Ark1'!F799,"AAAAAHfar/k=")</f>
        <v>#VALUE!</v>
      </c>
      <c r="IQ28" t="e">
        <f>AND('Ark1'!G799,"AAAAAHfar/o=")</f>
        <v>#VALUE!</v>
      </c>
      <c r="IR28" t="e">
        <f>AND('Ark1'!H799,"AAAAAHfar/s=")</f>
        <v>#VALUE!</v>
      </c>
      <c r="IS28">
        <f>IF('Ark1'!800:800,"AAAAAHfar/w=",0)</f>
        <v>0</v>
      </c>
      <c r="IT28" t="e">
        <f>AND('Ark1'!A800,"AAAAAHfar/0=")</f>
        <v>#VALUE!</v>
      </c>
      <c r="IU28" t="e">
        <f>AND('Ark1'!B800,"AAAAAHfar/4=")</f>
        <v>#VALUE!</v>
      </c>
      <c r="IV28" t="e">
        <f>AND('Ark1'!C800,"AAAAAHfar/8=")</f>
        <v>#VALUE!</v>
      </c>
    </row>
    <row r="29" spans="1:256" x14ac:dyDescent="0.25">
      <c r="A29" t="e">
        <f>AND('Ark1'!D800,"AAAAAHO36wA=")</f>
        <v>#VALUE!</v>
      </c>
      <c r="B29" t="e">
        <f>AND('Ark1'!E800,"AAAAAHO36wE=")</f>
        <v>#VALUE!</v>
      </c>
      <c r="C29" t="e">
        <f>AND('Ark1'!F800,"AAAAAHO36wI=")</f>
        <v>#VALUE!</v>
      </c>
      <c r="D29" t="e">
        <f>AND('Ark1'!G800,"AAAAAHO36wM=")</f>
        <v>#VALUE!</v>
      </c>
      <c r="E29" t="e">
        <f>AND('Ark1'!H800,"AAAAAHO36wQ=")</f>
        <v>#VALUE!</v>
      </c>
      <c r="F29">
        <f>IF('Ark1'!801:801,"AAAAAHO36wU=",0)</f>
        <v>0</v>
      </c>
      <c r="G29" t="e">
        <f>AND('Ark1'!A801,"AAAAAHO36wY=")</f>
        <v>#VALUE!</v>
      </c>
      <c r="H29" t="e">
        <f>AND('Ark1'!B801,"AAAAAHO36wc=")</f>
        <v>#VALUE!</v>
      </c>
      <c r="I29" t="e">
        <f>AND('Ark1'!C801,"AAAAAHO36wg=")</f>
        <v>#VALUE!</v>
      </c>
      <c r="J29" t="e">
        <f>AND('Ark1'!D801,"AAAAAHO36wk=")</f>
        <v>#VALUE!</v>
      </c>
      <c r="K29" t="e">
        <f>AND('Ark1'!E801,"AAAAAHO36wo=")</f>
        <v>#VALUE!</v>
      </c>
      <c r="L29" t="e">
        <f>AND('Ark1'!F801,"AAAAAHO36ws=")</f>
        <v>#VALUE!</v>
      </c>
      <c r="M29" t="e">
        <f>AND('Ark1'!G801,"AAAAAHO36ww=")</f>
        <v>#VALUE!</v>
      </c>
      <c r="N29" t="e">
        <f>AND('Ark1'!H801,"AAAAAHO36w0=")</f>
        <v>#VALUE!</v>
      </c>
      <c r="O29">
        <f>IF('Ark1'!802:802,"AAAAAHO36w4=",0)</f>
        <v>0</v>
      </c>
      <c r="P29" t="e">
        <f>AND('Ark1'!A802,"AAAAAHO36w8=")</f>
        <v>#VALUE!</v>
      </c>
      <c r="Q29" t="e">
        <f>AND('Ark1'!B802,"AAAAAHO36xA=")</f>
        <v>#VALUE!</v>
      </c>
      <c r="R29" t="e">
        <f>AND('Ark1'!C802,"AAAAAHO36xE=")</f>
        <v>#VALUE!</v>
      </c>
      <c r="S29" t="e">
        <f>AND('Ark1'!D802,"AAAAAHO36xI=")</f>
        <v>#VALUE!</v>
      </c>
      <c r="T29" t="e">
        <f>AND('Ark1'!E802,"AAAAAHO36xM=")</f>
        <v>#VALUE!</v>
      </c>
      <c r="U29" t="e">
        <f>AND('Ark1'!F802,"AAAAAHO36xQ=")</f>
        <v>#VALUE!</v>
      </c>
      <c r="V29" t="e">
        <f>AND('Ark1'!G802,"AAAAAHO36xU=")</f>
        <v>#VALUE!</v>
      </c>
      <c r="W29" t="e">
        <f>AND('Ark1'!H802,"AAAAAHO36xY=")</f>
        <v>#VALUE!</v>
      </c>
      <c r="X29">
        <f>IF('Ark1'!803:803,"AAAAAHO36xc=",0)</f>
        <v>0</v>
      </c>
      <c r="Y29" t="e">
        <f>AND('Ark1'!A803,"AAAAAHO36xg=")</f>
        <v>#VALUE!</v>
      </c>
      <c r="Z29" t="e">
        <f>AND('Ark1'!B803,"AAAAAHO36xk=")</f>
        <v>#VALUE!</v>
      </c>
      <c r="AA29" t="e">
        <f>AND('Ark1'!C803,"AAAAAHO36xo=")</f>
        <v>#VALUE!</v>
      </c>
      <c r="AB29" t="e">
        <f>AND('Ark1'!D803,"AAAAAHO36xs=")</f>
        <v>#VALUE!</v>
      </c>
      <c r="AC29" t="e">
        <f>AND('Ark1'!E803,"AAAAAHO36xw=")</f>
        <v>#VALUE!</v>
      </c>
      <c r="AD29" t="e">
        <f>AND('Ark1'!F803,"AAAAAHO36x0=")</f>
        <v>#VALUE!</v>
      </c>
      <c r="AE29" t="e">
        <f>AND('Ark1'!G803,"AAAAAHO36x4=")</f>
        <v>#VALUE!</v>
      </c>
      <c r="AF29" t="e">
        <f>AND('Ark1'!H803,"AAAAAHO36x8=")</f>
        <v>#VALUE!</v>
      </c>
      <c r="AG29">
        <f>IF('Ark1'!804:804,"AAAAAHO36yA=",0)</f>
        <v>0</v>
      </c>
      <c r="AH29" t="e">
        <f>AND('Ark1'!A804,"AAAAAHO36yE=")</f>
        <v>#VALUE!</v>
      </c>
      <c r="AI29" t="e">
        <f>AND('Ark1'!B804,"AAAAAHO36yI=")</f>
        <v>#VALUE!</v>
      </c>
      <c r="AJ29" t="e">
        <f>AND('Ark1'!C804,"AAAAAHO36yM=")</f>
        <v>#VALUE!</v>
      </c>
      <c r="AK29" t="e">
        <f>AND('Ark1'!D804,"AAAAAHO36yQ=")</f>
        <v>#VALUE!</v>
      </c>
      <c r="AL29" t="e">
        <f>AND('Ark1'!E804,"AAAAAHO36yU=")</f>
        <v>#VALUE!</v>
      </c>
      <c r="AM29" t="e">
        <f>AND('Ark1'!F804,"AAAAAHO36yY=")</f>
        <v>#VALUE!</v>
      </c>
      <c r="AN29" t="e">
        <f>AND('Ark1'!G804,"AAAAAHO36yc=")</f>
        <v>#VALUE!</v>
      </c>
      <c r="AO29" t="e">
        <f>AND('Ark1'!H804,"AAAAAHO36yg=")</f>
        <v>#VALUE!</v>
      </c>
      <c r="AP29">
        <f>IF('Ark1'!805:805,"AAAAAHO36yk=",0)</f>
        <v>0</v>
      </c>
      <c r="AQ29" t="e">
        <f>AND('Ark1'!A805,"AAAAAHO36yo=")</f>
        <v>#VALUE!</v>
      </c>
      <c r="AR29" t="e">
        <f>AND('Ark1'!B805,"AAAAAHO36ys=")</f>
        <v>#VALUE!</v>
      </c>
      <c r="AS29" t="e">
        <f>AND('Ark1'!C805,"AAAAAHO36yw=")</f>
        <v>#VALUE!</v>
      </c>
      <c r="AT29" t="e">
        <f>AND('Ark1'!D805,"AAAAAHO36y0=")</f>
        <v>#VALUE!</v>
      </c>
      <c r="AU29" t="e">
        <f>AND('Ark1'!E805,"AAAAAHO36y4=")</f>
        <v>#VALUE!</v>
      </c>
      <c r="AV29" t="e">
        <f>AND('Ark1'!F805,"AAAAAHO36y8=")</f>
        <v>#VALUE!</v>
      </c>
      <c r="AW29" t="e">
        <f>AND('Ark1'!G805,"AAAAAHO36zA=")</f>
        <v>#VALUE!</v>
      </c>
      <c r="AX29" t="e">
        <f>AND('Ark1'!H805,"AAAAAHO36zE=")</f>
        <v>#VALUE!</v>
      </c>
      <c r="AY29">
        <f>IF('Ark1'!806:806,"AAAAAHO36zI=",0)</f>
        <v>0</v>
      </c>
      <c r="AZ29" t="e">
        <f>AND('Ark1'!A806,"AAAAAHO36zM=")</f>
        <v>#VALUE!</v>
      </c>
      <c r="BA29" t="e">
        <f>AND('Ark1'!B806,"AAAAAHO36zQ=")</f>
        <v>#VALUE!</v>
      </c>
      <c r="BB29" t="e">
        <f>AND('Ark1'!C806,"AAAAAHO36zU=")</f>
        <v>#VALUE!</v>
      </c>
      <c r="BC29" t="e">
        <f>AND('Ark1'!D806,"AAAAAHO36zY=")</f>
        <v>#VALUE!</v>
      </c>
      <c r="BD29" t="e">
        <f>AND('Ark1'!E806,"AAAAAHO36zc=")</f>
        <v>#VALUE!</v>
      </c>
      <c r="BE29" t="e">
        <f>AND('Ark1'!F806,"AAAAAHO36zg=")</f>
        <v>#VALUE!</v>
      </c>
      <c r="BF29" t="e">
        <f>AND('Ark1'!G806,"AAAAAHO36zk=")</f>
        <v>#VALUE!</v>
      </c>
      <c r="BG29" t="e">
        <f>AND('Ark1'!H806,"AAAAAHO36zo=")</f>
        <v>#VALUE!</v>
      </c>
      <c r="BH29">
        <f>IF('Ark1'!807:807,"AAAAAHO36zs=",0)</f>
        <v>0</v>
      </c>
      <c r="BI29" t="e">
        <f>AND('Ark1'!A807,"AAAAAHO36zw=")</f>
        <v>#VALUE!</v>
      </c>
      <c r="BJ29" t="e">
        <f>AND('Ark1'!B807,"AAAAAHO36z0=")</f>
        <v>#VALUE!</v>
      </c>
      <c r="BK29" t="e">
        <f>AND('Ark1'!C807,"AAAAAHO36z4=")</f>
        <v>#VALUE!</v>
      </c>
      <c r="BL29" t="e">
        <f>AND('Ark1'!D807,"AAAAAHO36z8=")</f>
        <v>#VALUE!</v>
      </c>
      <c r="BM29" t="e">
        <f>AND('Ark1'!E807,"AAAAAHO360A=")</f>
        <v>#VALUE!</v>
      </c>
      <c r="BN29" t="e">
        <f>AND('Ark1'!F807,"AAAAAHO360E=")</f>
        <v>#VALUE!</v>
      </c>
      <c r="BO29" t="e">
        <f>AND('Ark1'!G807,"AAAAAHO360I=")</f>
        <v>#VALUE!</v>
      </c>
      <c r="BP29" t="e">
        <f>AND('Ark1'!H807,"AAAAAHO360M=")</f>
        <v>#VALUE!</v>
      </c>
      <c r="BQ29">
        <f>IF('Ark1'!808:808,"AAAAAHO360Q=",0)</f>
        <v>0</v>
      </c>
      <c r="BR29" t="e">
        <f>AND('Ark1'!A808,"AAAAAHO360U=")</f>
        <v>#VALUE!</v>
      </c>
      <c r="BS29" t="e">
        <f>AND('Ark1'!B808,"AAAAAHO360Y=")</f>
        <v>#VALUE!</v>
      </c>
      <c r="BT29" t="e">
        <f>AND('Ark1'!C808,"AAAAAHO360c=")</f>
        <v>#VALUE!</v>
      </c>
      <c r="BU29" t="e">
        <f>AND('Ark1'!D808,"AAAAAHO360g=")</f>
        <v>#VALUE!</v>
      </c>
      <c r="BV29" t="e">
        <f>AND('Ark1'!E808,"AAAAAHO360k=")</f>
        <v>#VALUE!</v>
      </c>
      <c r="BW29" t="e">
        <f>AND('Ark1'!F808,"AAAAAHO360o=")</f>
        <v>#VALUE!</v>
      </c>
      <c r="BX29" t="e">
        <f>AND('Ark1'!G808,"AAAAAHO360s=")</f>
        <v>#VALUE!</v>
      </c>
      <c r="BY29" t="e">
        <f>AND('Ark1'!H808,"AAAAAHO360w=")</f>
        <v>#VALUE!</v>
      </c>
      <c r="BZ29">
        <f>IF('Ark1'!809:809,"AAAAAHO3600=",0)</f>
        <v>0</v>
      </c>
      <c r="CA29" t="e">
        <f>AND('Ark1'!A809,"AAAAAHO3604=")</f>
        <v>#VALUE!</v>
      </c>
      <c r="CB29" t="e">
        <f>AND('Ark1'!B809,"AAAAAHO3608=")</f>
        <v>#VALUE!</v>
      </c>
      <c r="CC29" t="e">
        <f>AND('Ark1'!C809,"AAAAAHO361A=")</f>
        <v>#VALUE!</v>
      </c>
      <c r="CD29" t="e">
        <f>AND('Ark1'!D809,"AAAAAHO361E=")</f>
        <v>#VALUE!</v>
      </c>
      <c r="CE29" t="e">
        <f>AND('Ark1'!E809,"AAAAAHO361I=")</f>
        <v>#VALUE!</v>
      </c>
      <c r="CF29" t="e">
        <f>AND('Ark1'!F809,"AAAAAHO361M=")</f>
        <v>#VALUE!</v>
      </c>
      <c r="CG29" t="e">
        <f>AND('Ark1'!G809,"AAAAAHO361Q=")</f>
        <v>#VALUE!</v>
      </c>
      <c r="CH29" t="e">
        <f>AND('Ark1'!H809,"AAAAAHO361U=")</f>
        <v>#VALUE!</v>
      </c>
      <c r="CI29">
        <f>IF('Ark1'!810:810,"AAAAAHO361Y=",0)</f>
        <v>0</v>
      </c>
      <c r="CJ29" t="e">
        <f>AND('Ark1'!A810,"AAAAAHO361c=")</f>
        <v>#VALUE!</v>
      </c>
      <c r="CK29" t="e">
        <f>AND('Ark1'!B810,"AAAAAHO361g=")</f>
        <v>#VALUE!</v>
      </c>
      <c r="CL29" t="e">
        <f>AND('Ark1'!C810,"AAAAAHO361k=")</f>
        <v>#VALUE!</v>
      </c>
      <c r="CM29" t="e">
        <f>AND('Ark1'!D810,"AAAAAHO361o=")</f>
        <v>#VALUE!</v>
      </c>
      <c r="CN29" t="e">
        <f>AND('Ark1'!E810,"AAAAAHO361s=")</f>
        <v>#VALUE!</v>
      </c>
      <c r="CO29" t="e">
        <f>AND('Ark1'!F810,"AAAAAHO361w=")</f>
        <v>#VALUE!</v>
      </c>
      <c r="CP29" t="e">
        <f>AND('Ark1'!G810,"AAAAAHO3610=")</f>
        <v>#VALUE!</v>
      </c>
      <c r="CQ29" t="e">
        <f>AND('Ark1'!H810,"AAAAAHO3614=")</f>
        <v>#VALUE!</v>
      </c>
      <c r="CR29">
        <f>IF('Ark1'!811:811,"AAAAAHO3618=",0)</f>
        <v>0</v>
      </c>
      <c r="CS29" t="e">
        <f>AND('Ark1'!A811,"AAAAAHO362A=")</f>
        <v>#VALUE!</v>
      </c>
      <c r="CT29" t="e">
        <f>AND('Ark1'!B811,"AAAAAHO362E=")</f>
        <v>#VALUE!</v>
      </c>
      <c r="CU29" t="e">
        <f>AND('Ark1'!C811,"AAAAAHO362I=")</f>
        <v>#VALUE!</v>
      </c>
      <c r="CV29" t="e">
        <f>AND('Ark1'!D811,"AAAAAHO362M=")</f>
        <v>#VALUE!</v>
      </c>
      <c r="CW29" t="e">
        <f>AND('Ark1'!E811,"AAAAAHO362Q=")</f>
        <v>#VALUE!</v>
      </c>
      <c r="CX29" t="e">
        <f>AND('Ark1'!F811,"AAAAAHO362U=")</f>
        <v>#VALUE!</v>
      </c>
      <c r="CY29" t="e">
        <f>AND('Ark1'!G811,"AAAAAHO362Y=")</f>
        <v>#VALUE!</v>
      </c>
      <c r="CZ29" t="e">
        <f>AND('Ark1'!H811,"AAAAAHO362c=")</f>
        <v>#VALUE!</v>
      </c>
      <c r="DA29">
        <f>IF('Ark1'!812:812,"AAAAAHO362g=",0)</f>
        <v>0</v>
      </c>
      <c r="DB29" t="e">
        <f>AND('Ark1'!A812,"AAAAAHO362k=")</f>
        <v>#VALUE!</v>
      </c>
      <c r="DC29" t="e">
        <f>AND('Ark1'!B812,"AAAAAHO362o=")</f>
        <v>#VALUE!</v>
      </c>
      <c r="DD29" t="e">
        <f>AND('Ark1'!C812,"AAAAAHO362s=")</f>
        <v>#VALUE!</v>
      </c>
      <c r="DE29" t="e">
        <f>AND('Ark1'!D812,"AAAAAHO362w=")</f>
        <v>#VALUE!</v>
      </c>
      <c r="DF29" t="e">
        <f>AND('Ark1'!E812,"AAAAAHO3620=")</f>
        <v>#VALUE!</v>
      </c>
      <c r="DG29" t="e">
        <f>AND('Ark1'!F812,"AAAAAHO3624=")</f>
        <v>#VALUE!</v>
      </c>
      <c r="DH29" t="e">
        <f>AND('Ark1'!G812,"AAAAAHO3628=")</f>
        <v>#VALUE!</v>
      </c>
      <c r="DI29" t="e">
        <f>AND('Ark1'!H812,"AAAAAHO363A=")</f>
        <v>#VALUE!</v>
      </c>
      <c r="DJ29">
        <f>IF('Ark1'!813:813,"AAAAAHO363E=",0)</f>
        <v>0</v>
      </c>
      <c r="DK29" t="e">
        <f>AND('Ark1'!A813,"AAAAAHO363I=")</f>
        <v>#VALUE!</v>
      </c>
      <c r="DL29" t="e">
        <f>AND('Ark1'!B813,"AAAAAHO363M=")</f>
        <v>#VALUE!</v>
      </c>
      <c r="DM29" t="e">
        <f>AND('Ark1'!C813,"AAAAAHO363Q=")</f>
        <v>#VALUE!</v>
      </c>
      <c r="DN29" t="e">
        <f>AND('Ark1'!D813,"AAAAAHO363U=")</f>
        <v>#VALUE!</v>
      </c>
      <c r="DO29" t="e">
        <f>AND('Ark1'!E813,"AAAAAHO363Y=")</f>
        <v>#VALUE!</v>
      </c>
      <c r="DP29" t="e">
        <f>AND('Ark1'!F813,"AAAAAHO363c=")</f>
        <v>#VALUE!</v>
      </c>
      <c r="DQ29" t="e">
        <f>AND('Ark1'!G813,"AAAAAHO363g=")</f>
        <v>#VALUE!</v>
      </c>
      <c r="DR29" t="e">
        <f>AND('Ark1'!H813,"AAAAAHO363k=")</f>
        <v>#VALUE!</v>
      </c>
      <c r="DS29">
        <f>IF('Ark1'!814:814,"AAAAAHO363o=",0)</f>
        <v>0</v>
      </c>
      <c r="DT29" t="e">
        <f>AND('Ark1'!A814,"AAAAAHO363s=")</f>
        <v>#VALUE!</v>
      </c>
      <c r="DU29" t="e">
        <f>AND('Ark1'!B814,"AAAAAHO363w=")</f>
        <v>#VALUE!</v>
      </c>
      <c r="DV29" t="e">
        <f>AND('Ark1'!C814,"AAAAAHO3630=")</f>
        <v>#VALUE!</v>
      </c>
      <c r="DW29" t="e">
        <f>AND('Ark1'!D814,"AAAAAHO3634=")</f>
        <v>#VALUE!</v>
      </c>
      <c r="DX29" t="e">
        <f>AND('Ark1'!E814,"AAAAAHO3638=")</f>
        <v>#VALUE!</v>
      </c>
      <c r="DY29" t="e">
        <f>AND('Ark1'!F814,"AAAAAHO364A=")</f>
        <v>#VALUE!</v>
      </c>
      <c r="DZ29" t="e">
        <f>AND('Ark1'!G814,"AAAAAHO364E=")</f>
        <v>#VALUE!</v>
      </c>
      <c r="EA29" t="e">
        <f>AND('Ark1'!H814,"AAAAAHO364I=")</f>
        <v>#VALUE!</v>
      </c>
      <c r="EB29">
        <f>IF('Ark1'!815:815,"AAAAAHO364M=",0)</f>
        <v>0</v>
      </c>
      <c r="EC29" t="e">
        <f>AND('Ark1'!A815,"AAAAAHO364Q=")</f>
        <v>#VALUE!</v>
      </c>
      <c r="ED29" t="e">
        <f>AND('Ark1'!B815,"AAAAAHO364U=")</f>
        <v>#VALUE!</v>
      </c>
      <c r="EE29" t="e">
        <f>AND('Ark1'!C815,"AAAAAHO364Y=")</f>
        <v>#VALUE!</v>
      </c>
      <c r="EF29" t="e">
        <f>AND('Ark1'!D815,"AAAAAHO364c=")</f>
        <v>#VALUE!</v>
      </c>
      <c r="EG29" t="e">
        <f>AND('Ark1'!E815,"AAAAAHO364g=")</f>
        <v>#VALUE!</v>
      </c>
      <c r="EH29" t="e">
        <f>AND('Ark1'!F815,"AAAAAHO364k=")</f>
        <v>#VALUE!</v>
      </c>
      <c r="EI29" t="e">
        <f>AND('Ark1'!G815,"AAAAAHO364o=")</f>
        <v>#VALUE!</v>
      </c>
      <c r="EJ29" t="e">
        <f>AND('Ark1'!H815,"AAAAAHO364s=")</f>
        <v>#VALUE!</v>
      </c>
      <c r="EK29">
        <f>IF('Ark1'!816:816,"AAAAAHO364w=",0)</f>
        <v>0</v>
      </c>
      <c r="EL29" t="e">
        <f>AND('Ark1'!A816,"AAAAAHO3640=")</f>
        <v>#VALUE!</v>
      </c>
      <c r="EM29" t="e">
        <f>AND('Ark1'!B816,"AAAAAHO3644=")</f>
        <v>#VALUE!</v>
      </c>
      <c r="EN29" t="e">
        <f>AND('Ark1'!C816,"AAAAAHO3648=")</f>
        <v>#VALUE!</v>
      </c>
      <c r="EO29" t="e">
        <f>AND('Ark1'!D816,"AAAAAHO365A=")</f>
        <v>#VALUE!</v>
      </c>
      <c r="EP29" t="e">
        <f>AND('Ark1'!E816,"AAAAAHO365E=")</f>
        <v>#VALUE!</v>
      </c>
      <c r="EQ29" t="e">
        <f>AND('Ark1'!F816,"AAAAAHO365I=")</f>
        <v>#VALUE!</v>
      </c>
      <c r="ER29" t="e">
        <f>AND('Ark1'!G816,"AAAAAHO365M=")</f>
        <v>#VALUE!</v>
      </c>
      <c r="ES29" t="e">
        <f>AND('Ark1'!H816,"AAAAAHO365Q=")</f>
        <v>#VALUE!</v>
      </c>
      <c r="ET29">
        <f>IF('Ark1'!817:817,"AAAAAHO365U=",0)</f>
        <v>0</v>
      </c>
      <c r="EU29" t="e">
        <f>AND('Ark1'!A817,"AAAAAHO365Y=")</f>
        <v>#VALUE!</v>
      </c>
      <c r="EV29" t="e">
        <f>AND('Ark1'!B817,"AAAAAHO365c=")</f>
        <v>#VALUE!</v>
      </c>
      <c r="EW29" t="e">
        <f>AND('Ark1'!C817,"AAAAAHO365g=")</f>
        <v>#VALUE!</v>
      </c>
      <c r="EX29" t="e">
        <f>AND('Ark1'!D817,"AAAAAHO365k=")</f>
        <v>#VALUE!</v>
      </c>
      <c r="EY29" t="e">
        <f>AND('Ark1'!E817,"AAAAAHO365o=")</f>
        <v>#VALUE!</v>
      </c>
      <c r="EZ29" t="e">
        <f>AND('Ark1'!F817,"AAAAAHO365s=")</f>
        <v>#VALUE!</v>
      </c>
      <c r="FA29" t="e">
        <f>AND('Ark1'!G817,"AAAAAHO365w=")</f>
        <v>#VALUE!</v>
      </c>
      <c r="FB29" t="e">
        <f>AND('Ark1'!H817,"AAAAAHO3650=")</f>
        <v>#VALUE!</v>
      </c>
      <c r="FC29">
        <f>IF('Ark1'!818:818,"AAAAAHO3654=",0)</f>
        <v>0</v>
      </c>
      <c r="FD29" t="e">
        <f>AND('Ark1'!A818,"AAAAAHO3658=")</f>
        <v>#VALUE!</v>
      </c>
      <c r="FE29" t="e">
        <f>AND('Ark1'!B818,"AAAAAHO366A=")</f>
        <v>#VALUE!</v>
      </c>
      <c r="FF29" t="e">
        <f>AND('Ark1'!C818,"AAAAAHO366E=")</f>
        <v>#VALUE!</v>
      </c>
      <c r="FG29" t="e">
        <f>AND('Ark1'!D818,"AAAAAHO366I=")</f>
        <v>#VALUE!</v>
      </c>
      <c r="FH29" t="e">
        <f>AND('Ark1'!E818,"AAAAAHO366M=")</f>
        <v>#VALUE!</v>
      </c>
      <c r="FI29" t="e">
        <f>AND('Ark1'!F818,"AAAAAHO366Q=")</f>
        <v>#VALUE!</v>
      </c>
      <c r="FJ29" t="e">
        <f>AND('Ark1'!G818,"AAAAAHO366U=")</f>
        <v>#VALUE!</v>
      </c>
      <c r="FK29" t="e">
        <f>AND('Ark1'!H818,"AAAAAHO366Y=")</f>
        <v>#VALUE!</v>
      </c>
      <c r="FL29">
        <f>IF('Ark1'!819:819,"AAAAAHO366c=",0)</f>
        <v>0</v>
      </c>
      <c r="FM29" t="e">
        <f>AND('Ark1'!A819,"AAAAAHO366g=")</f>
        <v>#VALUE!</v>
      </c>
      <c r="FN29" t="e">
        <f>AND('Ark1'!B819,"AAAAAHO366k=")</f>
        <v>#VALUE!</v>
      </c>
      <c r="FO29" t="e">
        <f>AND('Ark1'!C819,"AAAAAHO366o=")</f>
        <v>#VALUE!</v>
      </c>
      <c r="FP29" t="e">
        <f>AND('Ark1'!D819,"AAAAAHO366s=")</f>
        <v>#VALUE!</v>
      </c>
      <c r="FQ29" t="e">
        <f>AND('Ark1'!E819,"AAAAAHO366w=")</f>
        <v>#VALUE!</v>
      </c>
      <c r="FR29" t="e">
        <f>AND('Ark1'!F819,"AAAAAHO3660=")</f>
        <v>#VALUE!</v>
      </c>
      <c r="FS29" t="e">
        <f>AND('Ark1'!G819,"AAAAAHO3664=")</f>
        <v>#VALUE!</v>
      </c>
      <c r="FT29" t="e">
        <f>AND('Ark1'!H819,"AAAAAHO3668=")</f>
        <v>#VALUE!</v>
      </c>
      <c r="FU29">
        <f>IF('Ark1'!820:820,"AAAAAHO367A=",0)</f>
        <v>0</v>
      </c>
      <c r="FV29" t="e">
        <f>AND('Ark1'!A820,"AAAAAHO367E=")</f>
        <v>#VALUE!</v>
      </c>
      <c r="FW29" t="e">
        <f>AND('Ark1'!B820,"AAAAAHO367I=")</f>
        <v>#VALUE!</v>
      </c>
      <c r="FX29" t="e">
        <f>AND('Ark1'!C820,"AAAAAHO367M=")</f>
        <v>#VALUE!</v>
      </c>
      <c r="FY29" t="e">
        <f>AND('Ark1'!D820,"AAAAAHO367Q=")</f>
        <v>#VALUE!</v>
      </c>
      <c r="FZ29" t="e">
        <f>AND('Ark1'!E820,"AAAAAHO367U=")</f>
        <v>#VALUE!</v>
      </c>
      <c r="GA29" t="e">
        <f>AND('Ark1'!F820,"AAAAAHO367Y=")</f>
        <v>#VALUE!</v>
      </c>
      <c r="GB29" t="e">
        <f>AND('Ark1'!G820,"AAAAAHO367c=")</f>
        <v>#VALUE!</v>
      </c>
      <c r="GC29" t="e">
        <f>AND('Ark1'!H820,"AAAAAHO367g=")</f>
        <v>#VALUE!</v>
      </c>
      <c r="GD29">
        <f>IF('Ark1'!821:821,"AAAAAHO367k=",0)</f>
        <v>0</v>
      </c>
      <c r="GE29" t="e">
        <f>AND('Ark1'!A821,"AAAAAHO367o=")</f>
        <v>#VALUE!</v>
      </c>
      <c r="GF29" t="e">
        <f>AND('Ark1'!B821,"AAAAAHO367s=")</f>
        <v>#VALUE!</v>
      </c>
      <c r="GG29" t="e">
        <f>AND('Ark1'!C821,"AAAAAHO367w=")</f>
        <v>#VALUE!</v>
      </c>
      <c r="GH29" t="e">
        <f>AND('Ark1'!D821,"AAAAAHO3670=")</f>
        <v>#VALUE!</v>
      </c>
      <c r="GI29" t="e">
        <f>AND('Ark1'!E821,"AAAAAHO3674=")</f>
        <v>#VALUE!</v>
      </c>
      <c r="GJ29" t="e">
        <f>AND('Ark1'!F821,"AAAAAHO3678=")</f>
        <v>#VALUE!</v>
      </c>
      <c r="GK29" t="e">
        <f>AND('Ark1'!G821,"AAAAAHO368A=")</f>
        <v>#VALUE!</v>
      </c>
      <c r="GL29" t="e">
        <f>AND('Ark1'!H821,"AAAAAHO368E=")</f>
        <v>#VALUE!</v>
      </c>
      <c r="GM29">
        <f>IF('Ark1'!822:822,"AAAAAHO368I=",0)</f>
        <v>0</v>
      </c>
      <c r="GN29" t="e">
        <f>AND('Ark1'!A822,"AAAAAHO368M=")</f>
        <v>#VALUE!</v>
      </c>
      <c r="GO29" t="e">
        <f>AND('Ark1'!B822,"AAAAAHO368Q=")</f>
        <v>#VALUE!</v>
      </c>
      <c r="GP29" t="e">
        <f>AND('Ark1'!C822,"AAAAAHO368U=")</f>
        <v>#VALUE!</v>
      </c>
      <c r="GQ29" t="e">
        <f>AND('Ark1'!D822,"AAAAAHO368Y=")</f>
        <v>#VALUE!</v>
      </c>
      <c r="GR29" t="e">
        <f>AND('Ark1'!E822,"AAAAAHO368c=")</f>
        <v>#VALUE!</v>
      </c>
      <c r="GS29" t="e">
        <f>AND('Ark1'!F822,"AAAAAHO368g=")</f>
        <v>#VALUE!</v>
      </c>
      <c r="GT29" t="e">
        <f>AND('Ark1'!G822,"AAAAAHO368k=")</f>
        <v>#VALUE!</v>
      </c>
      <c r="GU29" t="e">
        <f>AND('Ark1'!H822,"AAAAAHO368o=")</f>
        <v>#VALUE!</v>
      </c>
      <c r="GV29">
        <f>IF('Ark1'!823:823,"AAAAAHO368s=",0)</f>
        <v>0</v>
      </c>
      <c r="GW29" t="e">
        <f>AND('Ark1'!A823,"AAAAAHO368w=")</f>
        <v>#VALUE!</v>
      </c>
      <c r="GX29" t="e">
        <f>AND('Ark1'!B823,"AAAAAHO3680=")</f>
        <v>#VALUE!</v>
      </c>
      <c r="GY29" t="e">
        <f>AND('Ark1'!C823,"AAAAAHO3684=")</f>
        <v>#VALUE!</v>
      </c>
      <c r="GZ29" t="e">
        <f>AND('Ark1'!D823,"AAAAAHO3688=")</f>
        <v>#VALUE!</v>
      </c>
      <c r="HA29" t="e">
        <f>AND('Ark1'!E823,"AAAAAHO369A=")</f>
        <v>#VALUE!</v>
      </c>
      <c r="HB29" t="e">
        <f>AND('Ark1'!F823,"AAAAAHO369E=")</f>
        <v>#VALUE!</v>
      </c>
      <c r="HC29" t="e">
        <f>AND('Ark1'!G823,"AAAAAHO369I=")</f>
        <v>#VALUE!</v>
      </c>
      <c r="HD29" t="e">
        <f>AND('Ark1'!H823,"AAAAAHO369M=")</f>
        <v>#VALUE!</v>
      </c>
      <c r="HE29">
        <f>IF('Ark1'!824:824,"AAAAAHO369Q=",0)</f>
        <v>0</v>
      </c>
      <c r="HF29" t="e">
        <f>AND('Ark1'!A824,"AAAAAHO369U=")</f>
        <v>#VALUE!</v>
      </c>
      <c r="HG29" t="e">
        <f>AND('Ark1'!B824,"AAAAAHO369Y=")</f>
        <v>#VALUE!</v>
      </c>
      <c r="HH29" t="e">
        <f>AND('Ark1'!C824,"AAAAAHO369c=")</f>
        <v>#VALUE!</v>
      </c>
      <c r="HI29" t="e">
        <f>AND('Ark1'!D824,"AAAAAHO369g=")</f>
        <v>#VALUE!</v>
      </c>
      <c r="HJ29" t="e">
        <f>AND('Ark1'!E824,"AAAAAHO369k=")</f>
        <v>#VALUE!</v>
      </c>
      <c r="HK29" t="e">
        <f>AND('Ark1'!F824,"AAAAAHO369o=")</f>
        <v>#VALUE!</v>
      </c>
      <c r="HL29" t="e">
        <f>AND('Ark1'!G824,"AAAAAHO369s=")</f>
        <v>#VALUE!</v>
      </c>
      <c r="HM29" t="e">
        <f>AND('Ark1'!H824,"AAAAAHO369w=")</f>
        <v>#VALUE!</v>
      </c>
      <c r="HN29">
        <f>IF('Ark1'!825:825,"AAAAAHO3690=",0)</f>
        <v>0</v>
      </c>
      <c r="HO29" t="e">
        <f>AND('Ark1'!A825,"AAAAAHO3694=")</f>
        <v>#VALUE!</v>
      </c>
      <c r="HP29" t="e">
        <f>AND('Ark1'!B825,"AAAAAHO3698=")</f>
        <v>#VALUE!</v>
      </c>
      <c r="HQ29" t="e">
        <f>AND('Ark1'!C825,"AAAAAHO36+A=")</f>
        <v>#VALUE!</v>
      </c>
      <c r="HR29" t="e">
        <f>AND('Ark1'!D825,"AAAAAHO36+E=")</f>
        <v>#VALUE!</v>
      </c>
      <c r="HS29" t="e">
        <f>AND('Ark1'!E825,"AAAAAHO36+I=")</f>
        <v>#VALUE!</v>
      </c>
      <c r="HT29" t="e">
        <f>AND('Ark1'!F825,"AAAAAHO36+M=")</f>
        <v>#VALUE!</v>
      </c>
      <c r="HU29" t="e">
        <f>AND('Ark1'!G825,"AAAAAHO36+Q=")</f>
        <v>#VALUE!</v>
      </c>
      <c r="HV29" t="e">
        <f>AND('Ark1'!H825,"AAAAAHO36+U=")</f>
        <v>#VALUE!</v>
      </c>
      <c r="HW29">
        <f>IF('Ark1'!826:826,"AAAAAHO36+Y=",0)</f>
        <v>0</v>
      </c>
      <c r="HX29" t="e">
        <f>AND('Ark1'!A826,"AAAAAHO36+c=")</f>
        <v>#VALUE!</v>
      </c>
      <c r="HY29" t="e">
        <f>AND('Ark1'!B826,"AAAAAHO36+g=")</f>
        <v>#VALUE!</v>
      </c>
      <c r="HZ29" t="e">
        <f>AND('Ark1'!C826,"AAAAAHO36+k=")</f>
        <v>#VALUE!</v>
      </c>
      <c r="IA29" t="e">
        <f>AND('Ark1'!D826,"AAAAAHO36+o=")</f>
        <v>#VALUE!</v>
      </c>
      <c r="IB29" t="e">
        <f>AND('Ark1'!E826,"AAAAAHO36+s=")</f>
        <v>#VALUE!</v>
      </c>
      <c r="IC29" t="e">
        <f>AND('Ark1'!F826,"AAAAAHO36+w=")</f>
        <v>#VALUE!</v>
      </c>
      <c r="ID29" t="e">
        <f>AND('Ark1'!G826,"AAAAAHO36+0=")</f>
        <v>#VALUE!</v>
      </c>
      <c r="IE29" t="e">
        <f>AND('Ark1'!H826,"AAAAAHO36+4=")</f>
        <v>#VALUE!</v>
      </c>
      <c r="IF29">
        <f>IF('Ark1'!827:827,"AAAAAHO36+8=",0)</f>
        <v>0</v>
      </c>
      <c r="IG29" t="e">
        <f>AND('Ark1'!A827,"AAAAAHO36/A=")</f>
        <v>#VALUE!</v>
      </c>
      <c r="IH29" t="e">
        <f>AND('Ark1'!B827,"AAAAAHO36/E=")</f>
        <v>#VALUE!</v>
      </c>
      <c r="II29" t="e">
        <f>AND('Ark1'!C827,"AAAAAHO36/I=")</f>
        <v>#VALUE!</v>
      </c>
      <c r="IJ29" t="e">
        <f>AND('Ark1'!D827,"AAAAAHO36/M=")</f>
        <v>#VALUE!</v>
      </c>
      <c r="IK29" t="e">
        <f>AND('Ark1'!E827,"AAAAAHO36/Q=")</f>
        <v>#VALUE!</v>
      </c>
      <c r="IL29" t="e">
        <f>AND('Ark1'!F827,"AAAAAHO36/U=")</f>
        <v>#VALUE!</v>
      </c>
      <c r="IM29" t="e">
        <f>AND('Ark1'!G827,"AAAAAHO36/Y=")</f>
        <v>#VALUE!</v>
      </c>
      <c r="IN29" t="e">
        <f>AND('Ark1'!H827,"AAAAAHO36/c=")</f>
        <v>#VALUE!</v>
      </c>
      <c r="IO29">
        <f>IF('Ark1'!828:828,"AAAAAHO36/g=",0)</f>
        <v>0</v>
      </c>
      <c r="IP29" t="e">
        <f>AND('Ark1'!A828,"AAAAAHO36/k=")</f>
        <v>#VALUE!</v>
      </c>
      <c r="IQ29" t="e">
        <f>AND('Ark1'!B828,"AAAAAHO36/o=")</f>
        <v>#VALUE!</v>
      </c>
      <c r="IR29" t="e">
        <f>AND('Ark1'!C828,"AAAAAHO36/s=")</f>
        <v>#VALUE!</v>
      </c>
      <c r="IS29" t="e">
        <f>AND('Ark1'!D828,"AAAAAHO36/w=")</f>
        <v>#VALUE!</v>
      </c>
      <c r="IT29" t="e">
        <f>AND('Ark1'!E828,"AAAAAHO36/0=")</f>
        <v>#VALUE!</v>
      </c>
      <c r="IU29" t="e">
        <f>AND('Ark1'!F828,"AAAAAHO36/4=")</f>
        <v>#VALUE!</v>
      </c>
      <c r="IV29" t="e">
        <f>AND('Ark1'!G828,"AAAAAHO36/8=")</f>
        <v>#VALUE!</v>
      </c>
    </row>
    <row r="30" spans="1:256" x14ac:dyDescent="0.25">
      <c r="A30" t="e">
        <f>AND('Ark1'!H828,"AAAAAH9/3wA=")</f>
        <v>#VALUE!</v>
      </c>
      <c r="B30" t="e">
        <f>IF('Ark1'!829:829,"AAAAAH9/3wE=",0)</f>
        <v>#VALUE!</v>
      </c>
      <c r="C30" t="e">
        <f>AND('Ark1'!A829,"AAAAAH9/3wI=")</f>
        <v>#VALUE!</v>
      </c>
      <c r="D30" t="e">
        <f>AND('Ark1'!B829,"AAAAAH9/3wM=")</f>
        <v>#VALUE!</v>
      </c>
      <c r="E30" t="e">
        <f>AND('Ark1'!C829,"AAAAAH9/3wQ=")</f>
        <v>#VALUE!</v>
      </c>
      <c r="F30" t="e">
        <f>AND('Ark1'!D829,"AAAAAH9/3wU=")</f>
        <v>#VALUE!</v>
      </c>
      <c r="G30" t="e">
        <f>AND('Ark1'!E829,"AAAAAH9/3wY=")</f>
        <v>#VALUE!</v>
      </c>
      <c r="H30" t="e">
        <f>AND('Ark1'!F829,"AAAAAH9/3wc=")</f>
        <v>#VALUE!</v>
      </c>
      <c r="I30" t="e">
        <f>AND('Ark1'!G829,"AAAAAH9/3wg=")</f>
        <v>#VALUE!</v>
      </c>
      <c r="J30" t="e">
        <f>AND('Ark1'!H829,"AAAAAH9/3wk=")</f>
        <v>#VALUE!</v>
      </c>
      <c r="K30">
        <f>IF('Ark1'!830:830,"AAAAAH9/3wo=",0)</f>
        <v>0</v>
      </c>
      <c r="L30" t="e">
        <f>AND('Ark1'!A830,"AAAAAH9/3ws=")</f>
        <v>#VALUE!</v>
      </c>
      <c r="M30" t="e">
        <f>AND('Ark1'!B830,"AAAAAH9/3ww=")</f>
        <v>#VALUE!</v>
      </c>
      <c r="N30" t="e">
        <f>AND('Ark1'!C830,"AAAAAH9/3w0=")</f>
        <v>#VALUE!</v>
      </c>
      <c r="O30" t="e">
        <f>AND('Ark1'!D830,"AAAAAH9/3w4=")</f>
        <v>#VALUE!</v>
      </c>
      <c r="P30" t="e">
        <f>AND('Ark1'!E830,"AAAAAH9/3w8=")</f>
        <v>#VALUE!</v>
      </c>
      <c r="Q30" t="e">
        <f>AND('Ark1'!F830,"AAAAAH9/3xA=")</f>
        <v>#VALUE!</v>
      </c>
      <c r="R30" t="e">
        <f>AND('Ark1'!G830,"AAAAAH9/3xE=")</f>
        <v>#VALUE!</v>
      </c>
      <c r="S30" t="e">
        <f>AND('Ark1'!H830,"AAAAAH9/3xI=")</f>
        <v>#VALUE!</v>
      </c>
      <c r="T30">
        <f>IF('Ark1'!831:831,"AAAAAH9/3xM=",0)</f>
        <v>0</v>
      </c>
      <c r="U30" t="e">
        <f>AND('Ark1'!A831,"AAAAAH9/3xQ=")</f>
        <v>#VALUE!</v>
      </c>
      <c r="V30" t="e">
        <f>AND('Ark1'!B831,"AAAAAH9/3xU=")</f>
        <v>#VALUE!</v>
      </c>
      <c r="W30" t="e">
        <f>AND('Ark1'!C831,"AAAAAH9/3xY=")</f>
        <v>#VALUE!</v>
      </c>
      <c r="X30" t="e">
        <f>AND('Ark1'!D831,"AAAAAH9/3xc=")</f>
        <v>#VALUE!</v>
      </c>
      <c r="Y30" t="e">
        <f>AND('Ark1'!E831,"AAAAAH9/3xg=")</f>
        <v>#VALUE!</v>
      </c>
      <c r="Z30" t="e">
        <f>AND('Ark1'!F831,"AAAAAH9/3xk=")</f>
        <v>#VALUE!</v>
      </c>
      <c r="AA30" t="e">
        <f>AND('Ark1'!G831,"AAAAAH9/3xo=")</f>
        <v>#VALUE!</v>
      </c>
      <c r="AB30" t="e">
        <f>AND('Ark1'!H831,"AAAAAH9/3xs=")</f>
        <v>#VALUE!</v>
      </c>
      <c r="AC30">
        <f>IF('Ark1'!832:832,"AAAAAH9/3xw=",0)</f>
        <v>0</v>
      </c>
      <c r="AD30" t="e">
        <f>AND('Ark1'!A832,"AAAAAH9/3x0=")</f>
        <v>#VALUE!</v>
      </c>
      <c r="AE30" t="e">
        <f>AND('Ark1'!B832,"AAAAAH9/3x4=")</f>
        <v>#VALUE!</v>
      </c>
      <c r="AF30" t="e">
        <f>AND('Ark1'!C832,"AAAAAH9/3x8=")</f>
        <v>#VALUE!</v>
      </c>
      <c r="AG30" t="e">
        <f>AND('Ark1'!D832,"AAAAAH9/3yA=")</f>
        <v>#VALUE!</v>
      </c>
      <c r="AH30" t="e">
        <f>AND('Ark1'!E832,"AAAAAH9/3yE=")</f>
        <v>#VALUE!</v>
      </c>
      <c r="AI30" t="e">
        <f>AND('Ark1'!F832,"AAAAAH9/3yI=")</f>
        <v>#VALUE!</v>
      </c>
      <c r="AJ30" t="e">
        <f>AND('Ark1'!G832,"AAAAAH9/3yM=")</f>
        <v>#VALUE!</v>
      </c>
      <c r="AK30" t="e">
        <f>AND('Ark1'!H832,"AAAAAH9/3yQ=")</f>
        <v>#VALUE!</v>
      </c>
      <c r="AL30">
        <f>IF('Ark1'!833:833,"AAAAAH9/3yU=",0)</f>
        <v>0</v>
      </c>
      <c r="AM30" t="e">
        <f>AND('Ark1'!A833,"AAAAAH9/3yY=")</f>
        <v>#VALUE!</v>
      </c>
      <c r="AN30" t="e">
        <f>AND('Ark1'!B833,"AAAAAH9/3yc=")</f>
        <v>#VALUE!</v>
      </c>
      <c r="AO30" t="e">
        <f>AND('Ark1'!C833,"AAAAAH9/3yg=")</f>
        <v>#VALUE!</v>
      </c>
      <c r="AP30" t="e">
        <f>AND('Ark1'!D833,"AAAAAH9/3yk=")</f>
        <v>#VALUE!</v>
      </c>
      <c r="AQ30" t="e">
        <f>AND('Ark1'!E833,"AAAAAH9/3yo=")</f>
        <v>#VALUE!</v>
      </c>
      <c r="AR30" t="e">
        <f>AND('Ark1'!F833,"AAAAAH9/3ys=")</f>
        <v>#VALUE!</v>
      </c>
      <c r="AS30" t="e">
        <f>AND('Ark1'!G833,"AAAAAH9/3yw=")</f>
        <v>#VALUE!</v>
      </c>
      <c r="AT30" t="e">
        <f>AND('Ark1'!H833,"AAAAAH9/3y0=")</f>
        <v>#VALUE!</v>
      </c>
      <c r="AU30">
        <f>IF('Ark1'!834:834,"AAAAAH9/3y4=",0)</f>
        <v>0</v>
      </c>
      <c r="AV30" t="e">
        <f>AND('Ark1'!A834,"AAAAAH9/3y8=")</f>
        <v>#VALUE!</v>
      </c>
      <c r="AW30" t="e">
        <f>AND('Ark1'!B834,"AAAAAH9/3zA=")</f>
        <v>#VALUE!</v>
      </c>
      <c r="AX30" t="e">
        <f>AND('Ark1'!C834,"AAAAAH9/3zE=")</f>
        <v>#VALUE!</v>
      </c>
      <c r="AY30" t="e">
        <f>AND('Ark1'!D834,"AAAAAH9/3zI=")</f>
        <v>#VALUE!</v>
      </c>
      <c r="AZ30" t="e">
        <f>AND('Ark1'!E834,"AAAAAH9/3zM=")</f>
        <v>#VALUE!</v>
      </c>
      <c r="BA30" t="e">
        <f>AND('Ark1'!F834,"AAAAAH9/3zQ=")</f>
        <v>#VALUE!</v>
      </c>
      <c r="BB30" t="e">
        <f>AND('Ark1'!G834,"AAAAAH9/3zU=")</f>
        <v>#VALUE!</v>
      </c>
      <c r="BC30" t="e">
        <f>AND('Ark1'!H834,"AAAAAH9/3zY=")</f>
        <v>#VALUE!</v>
      </c>
      <c r="BD30">
        <f>IF('Ark1'!835:835,"AAAAAH9/3zc=",0)</f>
        <v>0</v>
      </c>
      <c r="BE30" t="e">
        <f>AND('Ark1'!A835,"AAAAAH9/3zg=")</f>
        <v>#VALUE!</v>
      </c>
      <c r="BF30" t="e">
        <f>AND('Ark1'!B835,"AAAAAH9/3zk=")</f>
        <v>#VALUE!</v>
      </c>
      <c r="BG30" t="e">
        <f>AND('Ark1'!C835,"AAAAAH9/3zo=")</f>
        <v>#VALUE!</v>
      </c>
      <c r="BH30" t="e">
        <f>AND('Ark1'!D835,"AAAAAH9/3zs=")</f>
        <v>#VALUE!</v>
      </c>
      <c r="BI30" t="e">
        <f>AND('Ark1'!E835,"AAAAAH9/3zw=")</f>
        <v>#VALUE!</v>
      </c>
      <c r="BJ30" t="e">
        <f>AND('Ark1'!F835,"AAAAAH9/3z0=")</f>
        <v>#VALUE!</v>
      </c>
      <c r="BK30" t="e">
        <f>AND('Ark1'!G835,"AAAAAH9/3z4=")</f>
        <v>#VALUE!</v>
      </c>
      <c r="BL30" t="e">
        <f>AND('Ark1'!H835,"AAAAAH9/3z8=")</f>
        <v>#VALUE!</v>
      </c>
      <c r="BM30">
        <f>IF('Ark1'!836:836,"AAAAAH9/30A=",0)</f>
        <v>0</v>
      </c>
      <c r="BN30" t="e">
        <f>AND('Ark1'!A836,"AAAAAH9/30E=")</f>
        <v>#VALUE!</v>
      </c>
      <c r="BO30" t="e">
        <f>AND('Ark1'!B836,"AAAAAH9/30I=")</f>
        <v>#VALUE!</v>
      </c>
      <c r="BP30" t="e">
        <f>AND('Ark1'!C836,"AAAAAH9/30M=")</f>
        <v>#VALUE!</v>
      </c>
      <c r="BQ30" t="e">
        <f>AND('Ark1'!D836,"AAAAAH9/30Q=")</f>
        <v>#VALUE!</v>
      </c>
      <c r="BR30" t="e">
        <f>AND('Ark1'!E836,"AAAAAH9/30U=")</f>
        <v>#VALUE!</v>
      </c>
      <c r="BS30" t="e">
        <f>AND('Ark1'!F836,"AAAAAH9/30Y=")</f>
        <v>#VALUE!</v>
      </c>
      <c r="BT30" t="e">
        <f>AND('Ark1'!G836,"AAAAAH9/30c=")</f>
        <v>#VALUE!</v>
      </c>
      <c r="BU30" t="e">
        <f>AND('Ark1'!H836,"AAAAAH9/30g=")</f>
        <v>#VALUE!</v>
      </c>
      <c r="BV30">
        <f>IF('Ark1'!837:837,"AAAAAH9/30k=",0)</f>
        <v>0</v>
      </c>
      <c r="BW30" t="e">
        <f>AND('Ark1'!A837,"AAAAAH9/30o=")</f>
        <v>#VALUE!</v>
      </c>
      <c r="BX30" t="e">
        <f>AND('Ark1'!B837,"AAAAAH9/30s=")</f>
        <v>#VALUE!</v>
      </c>
      <c r="BY30" t="e">
        <f>AND('Ark1'!C837,"AAAAAH9/30w=")</f>
        <v>#VALUE!</v>
      </c>
      <c r="BZ30" t="e">
        <f>AND('Ark1'!D837,"AAAAAH9/300=")</f>
        <v>#VALUE!</v>
      </c>
      <c r="CA30" t="e">
        <f>AND('Ark1'!E837,"AAAAAH9/304=")</f>
        <v>#VALUE!</v>
      </c>
      <c r="CB30" t="e">
        <f>AND('Ark1'!F837,"AAAAAH9/308=")</f>
        <v>#VALUE!</v>
      </c>
      <c r="CC30" t="e">
        <f>AND('Ark1'!G837,"AAAAAH9/31A=")</f>
        <v>#VALUE!</v>
      </c>
      <c r="CD30" t="e">
        <f>AND('Ark1'!H837,"AAAAAH9/31E=")</f>
        <v>#VALUE!</v>
      </c>
      <c r="CE30">
        <f>IF('Ark1'!838:838,"AAAAAH9/31I=",0)</f>
        <v>0</v>
      </c>
      <c r="CF30" t="e">
        <f>AND('Ark1'!A838,"AAAAAH9/31M=")</f>
        <v>#VALUE!</v>
      </c>
      <c r="CG30" t="e">
        <f>AND('Ark1'!B838,"AAAAAH9/31Q=")</f>
        <v>#VALUE!</v>
      </c>
      <c r="CH30" t="e">
        <f>AND('Ark1'!C838,"AAAAAH9/31U=")</f>
        <v>#VALUE!</v>
      </c>
      <c r="CI30" t="e">
        <f>AND('Ark1'!D838,"AAAAAH9/31Y=")</f>
        <v>#VALUE!</v>
      </c>
      <c r="CJ30" t="e">
        <f>AND('Ark1'!E838,"AAAAAH9/31c=")</f>
        <v>#VALUE!</v>
      </c>
      <c r="CK30" t="e">
        <f>AND('Ark1'!F838,"AAAAAH9/31g=")</f>
        <v>#VALUE!</v>
      </c>
      <c r="CL30" t="e">
        <f>AND('Ark1'!G838,"AAAAAH9/31k=")</f>
        <v>#VALUE!</v>
      </c>
      <c r="CM30" t="e">
        <f>AND('Ark1'!H838,"AAAAAH9/31o=")</f>
        <v>#VALUE!</v>
      </c>
      <c r="CN30">
        <f>IF('Ark1'!839:839,"AAAAAH9/31s=",0)</f>
        <v>0</v>
      </c>
      <c r="CO30" t="e">
        <f>AND('Ark1'!A839,"AAAAAH9/31w=")</f>
        <v>#VALUE!</v>
      </c>
      <c r="CP30" t="e">
        <f>AND('Ark1'!B839,"AAAAAH9/310=")</f>
        <v>#VALUE!</v>
      </c>
      <c r="CQ30" t="e">
        <f>AND('Ark1'!C839,"AAAAAH9/314=")</f>
        <v>#VALUE!</v>
      </c>
      <c r="CR30" t="e">
        <f>AND('Ark1'!D839,"AAAAAH9/318=")</f>
        <v>#VALUE!</v>
      </c>
      <c r="CS30" t="e">
        <f>AND('Ark1'!E839,"AAAAAH9/32A=")</f>
        <v>#VALUE!</v>
      </c>
      <c r="CT30" t="e">
        <f>AND('Ark1'!F839,"AAAAAH9/32E=")</f>
        <v>#VALUE!</v>
      </c>
      <c r="CU30" t="e">
        <f>AND('Ark1'!G839,"AAAAAH9/32I=")</f>
        <v>#VALUE!</v>
      </c>
      <c r="CV30" t="e">
        <f>AND('Ark1'!H839,"AAAAAH9/32M=")</f>
        <v>#VALUE!</v>
      </c>
      <c r="CW30">
        <f>IF('Ark1'!840:840,"AAAAAH9/32Q=",0)</f>
        <v>0</v>
      </c>
      <c r="CX30" t="e">
        <f>AND('Ark1'!A840,"AAAAAH9/32U=")</f>
        <v>#VALUE!</v>
      </c>
      <c r="CY30" t="e">
        <f>AND('Ark1'!B840,"AAAAAH9/32Y=")</f>
        <v>#VALUE!</v>
      </c>
      <c r="CZ30" t="e">
        <f>AND('Ark1'!C840,"AAAAAH9/32c=")</f>
        <v>#VALUE!</v>
      </c>
      <c r="DA30" t="e">
        <f>AND('Ark1'!D840,"AAAAAH9/32g=")</f>
        <v>#VALUE!</v>
      </c>
      <c r="DB30" t="e">
        <f>AND('Ark1'!E840,"AAAAAH9/32k=")</f>
        <v>#VALUE!</v>
      </c>
      <c r="DC30" t="e">
        <f>AND('Ark1'!F840,"AAAAAH9/32o=")</f>
        <v>#VALUE!</v>
      </c>
      <c r="DD30" t="e">
        <f>AND('Ark1'!G840,"AAAAAH9/32s=")</f>
        <v>#VALUE!</v>
      </c>
      <c r="DE30" t="e">
        <f>AND('Ark1'!H840,"AAAAAH9/32w=")</f>
        <v>#VALUE!</v>
      </c>
      <c r="DF30">
        <f>IF('Ark1'!841:841,"AAAAAH9/320=",0)</f>
        <v>0</v>
      </c>
      <c r="DG30" t="e">
        <f>AND('Ark1'!A841,"AAAAAH9/324=")</f>
        <v>#VALUE!</v>
      </c>
      <c r="DH30" t="e">
        <f>AND('Ark1'!B841,"AAAAAH9/328=")</f>
        <v>#VALUE!</v>
      </c>
      <c r="DI30" t="e">
        <f>AND('Ark1'!C841,"AAAAAH9/33A=")</f>
        <v>#VALUE!</v>
      </c>
      <c r="DJ30" t="e">
        <f>AND('Ark1'!D841,"AAAAAH9/33E=")</f>
        <v>#VALUE!</v>
      </c>
      <c r="DK30" t="e">
        <f>AND('Ark1'!E841,"AAAAAH9/33I=")</f>
        <v>#VALUE!</v>
      </c>
      <c r="DL30" t="e">
        <f>AND('Ark1'!F841,"AAAAAH9/33M=")</f>
        <v>#VALUE!</v>
      </c>
      <c r="DM30" t="e">
        <f>AND('Ark1'!G841,"AAAAAH9/33Q=")</f>
        <v>#VALUE!</v>
      </c>
      <c r="DN30" t="e">
        <f>AND('Ark1'!H841,"AAAAAH9/33U=")</f>
        <v>#VALUE!</v>
      </c>
      <c r="DO30">
        <f>IF('Ark1'!842:842,"AAAAAH9/33Y=",0)</f>
        <v>0</v>
      </c>
      <c r="DP30" t="e">
        <f>AND('Ark1'!A842,"AAAAAH9/33c=")</f>
        <v>#VALUE!</v>
      </c>
      <c r="DQ30" t="e">
        <f>AND('Ark1'!B842,"AAAAAH9/33g=")</f>
        <v>#VALUE!</v>
      </c>
      <c r="DR30" t="e">
        <f>AND('Ark1'!C842,"AAAAAH9/33k=")</f>
        <v>#VALUE!</v>
      </c>
      <c r="DS30" t="e">
        <f>AND('Ark1'!D842,"AAAAAH9/33o=")</f>
        <v>#VALUE!</v>
      </c>
      <c r="DT30" t="e">
        <f>AND('Ark1'!E842,"AAAAAH9/33s=")</f>
        <v>#VALUE!</v>
      </c>
      <c r="DU30" t="e">
        <f>AND('Ark1'!F842,"AAAAAH9/33w=")</f>
        <v>#VALUE!</v>
      </c>
      <c r="DV30" t="e">
        <f>AND('Ark1'!G842,"AAAAAH9/330=")</f>
        <v>#VALUE!</v>
      </c>
      <c r="DW30" t="e">
        <f>AND('Ark1'!H842,"AAAAAH9/334=")</f>
        <v>#VALUE!</v>
      </c>
      <c r="DX30">
        <f>IF('Ark1'!843:843,"AAAAAH9/338=",0)</f>
        <v>0</v>
      </c>
      <c r="DY30" t="e">
        <f>AND('Ark1'!A843,"AAAAAH9/34A=")</f>
        <v>#VALUE!</v>
      </c>
      <c r="DZ30" t="e">
        <f>AND('Ark1'!B843,"AAAAAH9/34E=")</f>
        <v>#VALUE!</v>
      </c>
      <c r="EA30" t="e">
        <f>AND('Ark1'!C843,"AAAAAH9/34I=")</f>
        <v>#VALUE!</v>
      </c>
      <c r="EB30" t="e">
        <f>AND('Ark1'!D843,"AAAAAH9/34M=")</f>
        <v>#VALUE!</v>
      </c>
      <c r="EC30" t="e">
        <f>AND('Ark1'!E843,"AAAAAH9/34Q=")</f>
        <v>#VALUE!</v>
      </c>
      <c r="ED30" t="e">
        <f>AND('Ark1'!F843,"AAAAAH9/34U=")</f>
        <v>#VALUE!</v>
      </c>
      <c r="EE30" t="e">
        <f>AND('Ark1'!G843,"AAAAAH9/34Y=")</f>
        <v>#VALUE!</v>
      </c>
      <c r="EF30" t="e">
        <f>AND('Ark1'!H843,"AAAAAH9/34c=")</f>
        <v>#VALUE!</v>
      </c>
      <c r="EG30">
        <f>IF('Ark1'!844:844,"AAAAAH9/34g=",0)</f>
        <v>0</v>
      </c>
      <c r="EH30" t="e">
        <f>AND('Ark1'!A844,"AAAAAH9/34k=")</f>
        <v>#VALUE!</v>
      </c>
      <c r="EI30" t="e">
        <f>AND('Ark1'!B844,"AAAAAH9/34o=")</f>
        <v>#VALUE!</v>
      </c>
      <c r="EJ30" t="e">
        <f>AND('Ark1'!C844,"AAAAAH9/34s=")</f>
        <v>#VALUE!</v>
      </c>
      <c r="EK30" t="e">
        <f>AND('Ark1'!D844,"AAAAAH9/34w=")</f>
        <v>#VALUE!</v>
      </c>
      <c r="EL30" t="e">
        <f>AND('Ark1'!E844,"AAAAAH9/340=")</f>
        <v>#VALUE!</v>
      </c>
      <c r="EM30" t="e">
        <f>AND('Ark1'!F844,"AAAAAH9/344=")</f>
        <v>#VALUE!</v>
      </c>
      <c r="EN30" t="e">
        <f>AND('Ark1'!G844,"AAAAAH9/348=")</f>
        <v>#VALUE!</v>
      </c>
      <c r="EO30" t="e">
        <f>AND('Ark1'!H844,"AAAAAH9/35A=")</f>
        <v>#VALUE!</v>
      </c>
      <c r="EP30">
        <f>IF('Ark1'!845:845,"AAAAAH9/35E=",0)</f>
        <v>0</v>
      </c>
      <c r="EQ30" t="e">
        <f>AND('Ark1'!A845,"AAAAAH9/35I=")</f>
        <v>#VALUE!</v>
      </c>
      <c r="ER30" t="e">
        <f>AND('Ark1'!B845,"AAAAAH9/35M=")</f>
        <v>#VALUE!</v>
      </c>
      <c r="ES30" t="e">
        <f>AND('Ark1'!C845,"AAAAAH9/35Q=")</f>
        <v>#VALUE!</v>
      </c>
      <c r="ET30" t="e">
        <f>AND('Ark1'!D845,"AAAAAH9/35U=")</f>
        <v>#VALUE!</v>
      </c>
      <c r="EU30" t="e">
        <f>AND('Ark1'!E845,"AAAAAH9/35Y=")</f>
        <v>#VALUE!</v>
      </c>
      <c r="EV30" t="e">
        <f>AND('Ark1'!F845,"AAAAAH9/35c=")</f>
        <v>#VALUE!</v>
      </c>
      <c r="EW30" t="e">
        <f>AND('Ark1'!G845,"AAAAAH9/35g=")</f>
        <v>#VALUE!</v>
      </c>
      <c r="EX30" t="e">
        <f>AND('Ark1'!H845,"AAAAAH9/35k=")</f>
        <v>#VALUE!</v>
      </c>
      <c r="EY30">
        <f>IF('Ark1'!846:846,"AAAAAH9/35o=",0)</f>
        <v>0</v>
      </c>
      <c r="EZ30" t="e">
        <f>AND('Ark1'!A846,"AAAAAH9/35s=")</f>
        <v>#VALUE!</v>
      </c>
      <c r="FA30" t="e">
        <f>AND('Ark1'!B846,"AAAAAH9/35w=")</f>
        <v>#VALUE!</v>
      </c>
      <c r="FB30" t="e">
        <f>AND('Ark1'!C846,"AAAAAH9/350=")</f>
        <v>#VALUE!</v>
      </c>
      <c r="FC30" t="e">
        <f>AND('Ark1'!D846,"AAAAAH9/354=")</f>
        <v>#VALUE!</v>
      </c>
      <c r="FD30" t="e">
        <f>AND('Ark1'!E846,"AAAAAH9/358=")</f>
        <v>#VALUE!</v>
      </c>
      <c r="FE30" t="e">
        <f>AND('Ark1'!F846,"AAAAAH9/36A=")</f>
        <v>#VALUE!</v>
      </c>
      <c r="FF30" t="e">
        <f>AND('Ark1'!G846,"AAAAAH9/36E=")</f>
        <v>#VALUE!</v>
      </c>
      <c r="FG30" t="e">
        <f>AND('Ark1'!H846,"AAAAAH9/36I=")</f>
        <v>#VALUE!</v>
      </c>
      <c r="FH30">
        <f>IF('Ark1'!847:847,"AAAAAH9/36M=",0)</f>
        <v>0</v>
      </c>
      <c r="FI30" t="e">
        <f>AND('Ark1'!A847,"AAAAAH9/36Q=")</f>
        <v>#VALUE!</v>
      </c>
      <c r="FJ30" t="e">
        <f>AND('Ark1'!B847,"AAAAAH9/36U=")</f>
        <v>#VALUE!</v>
      </c>
      <c r="FK30" t="e">
        <f>AND('Ark1'!C847,"AAAAAH9/36Y=")</f>
        <v>#VALUE!</v>
      </c>
      <c r="FL30" t="e">
        <f>AND('Ark1'!D847,"AAAAAH9/36c=")</f>
        <v>#VALUE!</v>
      </c>
      <c r="FM30" t="e">
        <f>AND('Ark1'!E847,"AAAAAH9/36g=")</f>
        <v>#VALUE!</v>
      </c>
      <c r="FN30" t="e">
        <f>AND('Ark1'!F847,"AAAAAH9/36k=")</f>
        <v>#VALUE!</v>
      </c>
      <c r="FO30" t="e">
        <f>AND('Ark1'!G847,"AAAAAH9/36o=")</f>
        <v>#VALUE!</v>
      </c>
      <c r="FP30" t="e">
        <f>AND('Ark1'!H847,"AAAAAH9/36s=")</f>
        <v>#VALUE!</v>
      </c>
      <c r="FQ30">
        <f>IF('Ark1'!848:848,"AAAAAH9/36w=",0)</f>
        <v>0</v>
      </c>
      <c r="FR30" t="e">
        <f>AND('Ark1'!A848,"AAAAAH9/360=")</f>
        <v>#VALUE!</v>
      </c>
      <c r="FS30" t="e">
        <f>AND('Ark1'!B848,"AAAAAH9/364=")</f>
        <v>#VALUE!</v>
      </c>
      <c r="FT30" t="e">
        <f>AND('Ark1'!C848,"AAAAAH9/368=")</f>
        <v>#VALUE!</v>
      </c>
      <c r="FU30" t="e">
        <f>AND('Ark1'!D848,"AAAAAH9/37A=")</f>
        <v>#VALUE!</v>
      </c>
      <c r="FV30" t="e">
        <f>AND('Ark1'!E848,"AAAAAH9/37E=")</f>
        <v>#VALUE!</v>
      </c>
      <c r="FW30" t="e">
        <f>AND('Ark1'!F848,"AAAAAH9/37I=")</f>
        <v>#VALUE!</v>
      </c>
      <c r="FX30" t="e">
        <f>AND('Ark1'!G848,"AAAAAH9/37M=")</f>
        <v>#VALUE!</v>
      </c>
      <c r="FY30" t="e">
        <f>AND('Ark1'!H848,"AAAAAH9/37Q=")</f>
        <v>#VALUE!</v>
      </c>
      <c r="FZ30">
        <f>IF('Ark1'!849:849,"AAAAAH9/37U=",0)</f>
        <v>0</v>
      </c>
      <c r="GA30" t="e">
        <f>AND('Ark1'!A849,"AAAAAH9/37Y=")</f>
        <v>#VALUE!</v>
      </c>
      <c r="GB30" t="e">
        <f>AND('Ark1'!B849,"AAAAAH9/37c=")</f>
        <v>#VALUE!</v>
      </c>
      <c r="GC30" t="e">
        <f>AND('Ark1'!C849,"AAAAAH9/37g=")</f>
        <v>#VALUE!</v>
      </c>
      <c r="GD30" t="e">
        <f>AND('Ark1'!D849,"AAAAAH9/37k=")</f>
        <v>#VALUE!</v>
      </c>
      <c r="GE30" t="e">
        <f>AND('Ark1'!E849,"AAAAAH9/37o=")</f>
        <v>#VALUE!</v>
      </c>
      <c r="GF30" t="e">
        <f>AND('Ark1'!F849,"AAAAAH9/37s=")</f>
        <v>#VALUE!</v>
      </c>
      <c r="GG30" t="e">
        <f>AND('Ark1'!G849,"AAAAAH9/37w=")</f>
        <v>#VALUE!</v>
      </c>
      <c r="GH30" t="e">
        <f>AND('Ark1'!H849,"AAAAAH9/370=")</f>
        <v>#VALUE!</v>
      </c>
      <c r="GI30">
        <f>IF('Ark1'!850:850,"AAAAAH9/374=",0)</f>
        <v>0</v>
      </c>
      <c r="GJ30" t="e">
        <f>AND('Ark1'!A850,"AAAAAH9/378=")</f>
        <v>#VALUE!</v>
      </c>
      <c r="GK30" t="e">
        <f>AND('Ark1'!B850,"AAAAAH9/38A=")</f>
        <v>#VALUE!</v>
      </c>
      <c r="GL30" t="e">
        <f>AND('Ark1'!C850,"AAAAAH9/38E=")</f>
        <v>#VALUE!</v>
      </c>
      <c r="GM30" t="e">
        <f>AND('Ark1'!D850,"AAAAAH9/38I=")</f>
        <v>#VALUE!</v>
      </c>
      <c r="GN30" t="e">
        <f>AND('Ark1'!E850,"AAAAAH9/38M=")</f>
        <v>#VALUE!</v>
      </c>
      <c r="GO30" t="e">
        <f>AND('Ark1'!F850,"AAAAAH9/38Q=")</f>
        <v>#VALUE!</v>
      </c>
      <c r="GP30" t="e">
        <f>AND('Ark1'!G850,"AAAAAH9/38U=")</f>
        <v>#VALUE!</v>
      </c>
      <c r="GQ30" t="e">
        <f>AND('Ark1'!H850,"AAAAAH9/38Y=")</f>
        <v>#VALUE!</v>
      </c>
      <c r="GR30">
        <f>IF('Ark1'!851:851,"AAAAAH9/38c=",0)</f>
        <v>0</v>
      </c>
      <c r="GS30" t="e">
        <f>AND('Ark1'!A851,"AAAAAH9/38g=")</f>
        <v>#VALUE!</v>
      </c>
      <c r="GT30" t="e">
        <f>AND('Ark1'!B851,"AAAAAH9/38k=")</f>
        <v>#VALUE!</v>
      </c>
      <c r="GU30" t="e">
        <f>AND('Ark1'!C851,"AAAAAH9/38o=")</f>
        <v>#VALUE!</v>
      </c>
      <c r="GV30" t="e">
        <f>AND('Ark1'!D851,"AAAAAH9/38s=")</f>
        <v>#VALUE!</v>
      </c>
      <c r="GW30" t="e">
        <f>AND('Ark1'!E851,"AAAAAH9/38w=")</f>
        <v>#VALUE!</v>
      </c>
      <c r="GX30" t="e">
        <f>AND('Ark1'!F851,"AAAAAH9/380=")</f>
        <v>#VALUE!</v>
      </c>
      <c r="GY30" t="e">
        <f>AND('Ark1'!G851,"AAAAAH9/384=")</f>
        <v>#VALUE!</v>
      </c>
      <c r="GZ30" t="e">
        <f>AND('Ark1'!H851,"AAAAAH9/388=")</f>
        <v>#VALUE!</v>
      </c>
      <c r="HA30">
        <f>IF('Ark1'!852:852,"AAAAAH9/39A=",0)</f>
        <v>0</v>
      </c>
      <c r="HB30" t="e">
        <f>AND('Ark1'!A852,"AAAAAH9/39E=")</f>
        <v>#VALUE!</v>
      </c>
      <c r="HC30" t="e">
        <f>AND('Ark1'!B852,"AAAAAH9/39I=")</f>
        <v>#VALUE!</v>
      </c>
      <c r="HD30" t="e">
        <f>AND('Ark1'!C852,"AAAAAH9/39M=")</f>
        <v>#VALUE!</v>
      </c>
      <c r="HE30" t="e">
        <f>AND('Ark1'!D852,"AAAAAH9/39Q=")</f>
        <v>#VALUE!</v>
      </c>
      <c r="HF30" t="e">
        <f>AND('Ark1'!E852,"AAAAAH9/39U=")</f>
        <v>#VALUE!</v>
      </c>
      <c r="HG30" t="e">
        <f>AND('Ark1'!F852,"AAAAAH9/39Y=")</f>
        <v>#VALUE!</v>
      </c>
      <c r="HH30" t="e">
        <f>AND('Ark1'!G852,"AAAAAH9/39c=")</f>
        <v>#VALUE!</v>
      </c>
      <c r="HI30" t="e">
        <f>AND('Ark1'!H852,"AAAAAH9/39g=")</f>
        <v>#VALUE!</v>
      </c>
      <c r="HJ30">
        <f>IF('Ark1'!853:853,"AAAAAH9/39k=",0)</f>
        <v>0</v>
      </c>
      <c r="HK30" t="e">
        <f>AND('Ark1'!A853,"AAAAAH9/39o=")</f>
        <v>#VALUE!</v>
      </c>
      <c r="HL30" t="e">
        <f>AND('Ark1'!B853,"AAAAAH9/39s=")</f>
        <v>#VALUE!</v>
      </c>
      <c r="HM30" t="e">
        <f>AND('Ark1'!C853,"AAAAAH9/39w=")</f>
        <v>#VALUE!</v>
      </c>
      <c r="HN30" t="e">
        <f>AND('Ark1'!D853,"AAAAAH9/390=")</f>
        <v>#VALUE!</v>
      </c>
      <c r="HO30" t="e">
        <f>AND('Ark1'!E853,"AAAAAH9/394=")</f>
        <v>#VALUE!</v>
      </c>
      <c r="HP30" t="e">
        <f>AND('Ark1'!F853,"AAAAAH9/398=")</f>
        <v>#VALUE!</v>
      </c>
      <c r="HQ30" t="e">
        <f>AND('Ark1'!G853,"AAAAAH9/3+A=")</f>
        <v>#VALUE!</v>
      </c>
      <c r="HR30" t="e">
        <f>AND('Ark1'!H853,"AAAAAH9/3+E=")</f>
        <v>#VALUE!</v>
      </c>
      <c r="HS30">
        <f>IF('Ark1'!854:854,"AAAAAH9/3+I=",0)</f>
        <v>0</v>
      </c>
      <c r="HT30" t="e">
        <f>AND('Ark1'!A854,"AAAAAH9/3+M=")</f>
        <v>#VALUE!</v>
      </c>
      <c r="HU30" t="e">
        <f>AND('Ark1'!B854,"AAAAAH9/3+Q=")</f>
        <v>#VALUE!</v>
      </c>
      <c r="HV30" t="e">
        <f>AND('Ark1'!C854,"AAAAAH9/3+U=")</f>
        <v>#VALUE!</v>
      </c>
      <c r="HW30" t="e">
        <f>AND('Ark1'!D854,"AAAAAH9/3+Y=")</f>
        <v>#VALUE!</v>
      </c>
      <c r="HX30" t="e">
        <f>AND('Ark1'!E854,"AAAAAH9/3+c=")</f>
        <v>#VALUE!</v>
      </c>
      <c r="HY30" t="e">
        <f>AND('Ark1'!F854,"AAAAAH9/3+g=")</f>
        <v>#VALUE!</v>
      </c>
      <c r="HZ30" t="e">
        <f>AND('Ark1'!G854,"AAAAAH9/3+k=")</f>
        <v>#VALUE!</v>
      </c>
      <c r="IA30" t="e">
        <f>AND('Ark1'!H854,"AAAAAH9/3+o=")</f>
        <v>#VALUE!</v>
      </c>
      <c r="IB30">
        <f>IF('Ark1'!855:855,"AAAAAH9/3+s=",0)</f>
        <v>0</v>
      </c>
      <c r="IC30" t="e">
        <f>AND('Ark1'!A855,"AAAAAH9/3+w=")</f>
        <v>#VALUE!</v>
      </c>
      <c r="ID30" t="e">
        <f>AND('Ark1'!B855,"AAAAAH9/3+0=")</f>
        <v>#VALUE!</v>
      </c>
      <c r="IE30" t="e">
        <f>AND('Ark1'!C855,"AAAAAH9/3+4=")</f>
        <v>#VALUE!</v>
      </c>
      <c r="IF30" t="e">
        <f>AND('Ark1'!D855,"AAAAAH9/3+8=")</f>
        <v>#VALUE!</v>
      </c>
      <c r="IG30" t="e">
        <f>AND('Ark1'!E855,"AAAAAH9/3/A=")</f>
        <v>#VALUE!</v>
      </c>
      <c r="IH30" t="e">
        <f>AND('Ark1'!F855,"AAAAAH9/3/E=")</f>
        <v>#VALUE!</v>
      </c>
      <c r="II30" t="e">
        <f>AND('Ark1'!G855,"AAAAAH9/3/I=")</f>
        <v>#VALUE!</v>
      </c>
      <c r="IJ30" t="e">
        <f>AND('Ark1'!H855,"AAAAAH9/3/M=")</f>
        <v>#VALUE!</v>
      </c>
      <c r="IK30">
        <f>IF('Ark1'!856:856,"AAAAAH9/3/Q=",0)</f>
        <v>0</v>
      </c>
      <c r="IL30" t="e">
        <f>AND('Ark1'!A856,"AAAAAH9/3/U=")</f>
        <v>#VALUE!</v>
      </c>
      <c r="IM30" t="e">
        <f>AND('Ark1'!B856,"AAAAAH9/3/Y=")</f>
        <v>#VALUE!</v>
      </c>
      <c r="IN30" t="e">
        <f>AND('Ark1'!C856,"AAAAAH9/3/c=")</f>
        <v>#VALUE!</v>
      </c>
      <c r="IO30" t="e">
        <f>AND('Ark1'!D856,"AAAAAH9/3/g=")</f>
        <v>#VALUE!</v>
      </c>
      <c r="IP30" t="e">
        <f>AND('Ark1'!E856,"AAAAAH9/3/k=")</f>
        <v>#VALUE!</v>
      </c>
      <c r="IQ30" t="e">
        <f>AND('Ark1'!F856,"AAAAAH9/3/o=")</f>
        <v>#VALUE!</v>
      </c>
      <c r="IR30" t="e">
        <f>AND('Ark1'!G856,"AAAAAH9/3/s=")</f>
        <v>#VALUE!</v>
      </c>
      <c r="IS30" t="e">
        <f>AND('Ark1'!H856,"AAAAAH9/3/w=")</f>
        <v>#VALUE!</v>
      </c>
      <c r="IT30">
        <f>IF('Ark1'!857:857,"AAAAAH9/3/0=",0)</f>
        <v>0</v>
      </c>
      <c r="IU30" t="e">
        <f>AND('Ark1'!A857,"AAAAAH9/3/4=")</f>
        <v>#VALUE!</v>
      </c>
      <c r="IV30" t="e">
        <f>AND('Ark1'!B857,"AAAAAH9/3/8=")</f>
        <v>#VALUE!</v>
      </c>
    </row>
    <row r="31" spans="1:256" x14ac:dyDescent="0.25">
      <c r="A31" t="e">
        <f>AND('Ark1'!C857,"AAAAAF//rwA=")</f>
        <v>#VALUE!</v>
      </c>
      <c r="B31" t="e">
        <f>AND('Ark1'!D857,"AAAAAF//rwE=")</f>
        <v>#VALUE!</v>
      </c>
      <c r="C31" t="e">
        <f>AND('Ark1'!E857,"AAAAAF//rwI=")</f>
        <v>#VALUE!</v>
      </c>
      <c r="D31" t="e">
        <f>AND('Ark1'!F857,"AAAAAF//rwM=")</f>
        <v>#VALUE!</v>
      </c>
      <c r="E31" t="e">
        <f>AND('Ark1'!G857,"AAAAAF//rwQ=")</f>
        <v>#VALUE!</v>
      </c>
      <c r="F31" t="e">
        <f>AND('Ark1'!H857,"AAAAAF//rwU=")</f>
        <v>#VALUE!</v>
      </c>
      <c r="G31">
        <f>IF('Ark1'!858:858,"AAAAAF//rwY=",0)</f>
        <v>0</v>
      </c>
      <c r="H31" t="e">
        <f>AND('Ark1'!A858,"AAAAAF//rwc=")</f>
        <v>#VALUE!</v>
      </c>
      <c r="I31" t="e">
        <f>AND('Ark1'!B858,"AAAAAF//rwg=")</f>
        <v>#VALUE!</v>
      </c>
      <c r="J31" t="e">
        <f>AND('Ark1'!C858,"AAAAAF//rwk=")</f>
        <v>#VALUE!</v>
      </c>
      <c r="K31" t="e">
        <f>AND('Ark1'!D858,"AAAAAF//rwo=")</f>
        <v>#VALUE!</v>
      </c>
      <c r="L31" t="e">
        <f>AND('Ark1'!E858,"AAAAAF//rws=")</f>
        <v>#VALUE!</v>
      </c>
      <c r="M31" t="e">
        <f>AND('Ark1'!F858,"AAAAAF//rww=")</f>
        <v>#VALUE!</v>
      </c>
      <c r="N31" t="e">
        <f>AND('Ark1'!G858,"AAAAAF//rw0=")</f>
        <v>#VALUE!</v>
      </c>
      <c r="O31" t="e">
        <f>AND('Ark1'!H858,"AAAAAF//rw4=")</f>
        <v>#VALUE!</v>
      </c>
      <c r="P31">
        <f>IF('Ark1'!859:859,"AAAAAF//rw8=",0)</f>
        <v>0</v>
      </c>
      <c r="Q31" t="e">
        <f>AND('Ark1'!A859,"AAAAAF//rxA=")</f>
        <v>#VALUE!</v>
      </c>
      <c r="R31" t="e">
        <f>AND('Ark1'!B859,"AAAAAF//rxE=")</f>
        <v>#VALUE!</v>
      </c>
      <c r="S31" t="e">
        <f>AND('Ark1'!C859,"AAAAAF//rxI=")</f>
        <v>#VALUE!</v>
      </c>
      <c r="T31" t="e">
        <f>AND('Ark1'!D859,"AAAAAF//rxM=")</f>
        <v>#VALUE!</v>
      </c>
      <c r="U31" t="e">
        <f>AND('Ark1'!E859,"AAAAAF//rxQ=")</f>
        <v>#VALUE!</v>
      </c>
      <c r="V31" t="e">
        <f>AND('Ark1'!F859,"AAAAAF//rxU=")</f>
        <v>#VALUE!</v>
      </c>
      <c r="W31" t="e">
        <f>AND('Ark1'!G859,"AAAAAF//rxY=")</f>
        <v>#VALUE!</v>
      </c>
      <c r="X31" t="e">
        <f>AND('Ark1'!H859,"AAAAAF//rxc=")</f>
        <v>#VALUE!</v>
      </c>
      <c r="Y31">
        <f>IF('Ark1'!860:860,"AAAAAF//rxg=",0)</f>
        <v>0</v>
      </c>
      <c r="Z31" t="e">
        <f>AND('Ark1'!A860,"AAAAAF//rxk=")</f>
        <v>#VALUE!</v>
      </c>
      <c r="AA31" t="e">
        <f>AND('Ark1'!B860,"AAAAAF//rxo=")</f>
        <v>#VALUE!</v>
      </c>
      <c r="AB31" t="e">
        <f>AND('Ark1'!C860,"AAAAAF//rxs=")</f>
        <v>#VALUE!</v>
      </c>
      <c r="AC31" t="e">
        <f>AND('Ark1'!D860,"AAAAAF//rxw=")</f>
        <v>#VALUE!</v>
      </c>
      <c r="AD31" t="e">
        <f>AND('Ark1'!E860,"AAAAAF//rx0=")</f>
        <v>#VALUE!</v>
      </c>
      <c r="AE31" t="e">
        <f>AND('Ark1'!F860,"AAAAAF//rx4=")</f>
        <v>#VALUE!</v>
      </c>
      <c r="AF31" t="e">
        <f>AND('Ark1'!G860,"AAAAAF//rx8=")</f>
        <v>#VALUE!</v>
      </c>
      <c r="AG31" t="e">
        <f>AND('Ark1'!H860,"AAAAAF//ryA=")</f>
        <v>#VALUE!</v>
      </c>
      <c r="AH31">
        <f>IF('Ark1'!861:861,"AAAAAF//ryE=",0)</f>
        <v>0</v>
      </c>
      <c r="AI31" t="e">
        <f>AND('Ark1'!A861,"AAAAAF//ryI=")</f>
        <v>#VALUE!</v>
      </c>
      <c r="AJ31" t="e">
        <f>AND('Ark1'!B861,"AAAAAF//ryM=")</f>
        <v>#VALUE!</v>
      </c>
      <c r="AK31" t="e">
        <f>AND('Ark1'!C861,"AAAAAF//ryQ=")</f>
        <v>#VALUE!</v>
      </c>
      <c r="AL31" t="e">
        <f>AND('Ark1'!D861,"AAAAAF//ryU=")</f>
        <v>#VALUE!</v>
      </c>
      <c r="AM31" t="e">
        <f>AND('Ark1'!E861,"AAAAAF//ryY=")</f>
        <v>#VALUE!</v>
      </c>
      <c r="AN31" t="e">
        <f>AND('Ark1'!F861,"AAAAAF//ryc=")</f>
        <v>#VALUE!</v>
      </c>
      <c r="AO31" t="e">
        <f>AND('Ark1'!G861,"AAAAAF//ryg=")</f>
        <v>#VALUE!</v>
      </c>
      <c r="AP31" t="e">
        <f>AND('Ark1'!H861,"AAAAAF//ryk=")</f>
        <v>#VALUE!</v>
      </c>
      <c r="AQ31">
        <f>IF('Ark1'!862:862,"AAAAAF//ryo=",0)</f>
        <v>0</v>
      </c>
      <c r="AR31" t="e">
        <f>AND('Ark1'!A862,"AAAAAF//rys=")</f>
        <v>#VALUE!</v>
      </c>
      <c r="AS31" t="e">
        <f>AND('Ark1'!B862,"AAAAAF//ryw=")</f>
        <v>#VALUE!</v>
      </c>
      <c r="AT31" t="e">
        <f>AND('Ark1'!C862,"AAAAAF//ry0=")</f>
        <v>#VALUE!</v>
      </c>
      <c r="AU31" t="e">
        <f>AND('Ark1'!D862,"AAAAAF//ry4=")</f>
        <v>#VALUE!</v>
      </c>
      <c r="AV31" t="e">
        <f>AND('Ark1'!E862,"AAAAAF//ry8=")</f>
        <v>#VALUE!</v>
      </c>
      <c r="AW31" t="e">
        <f>AND('Ark1'!F862,"AAAAAF//rzA=")</f>
        <v>#VALUE!</v>
      </c>
      <c r="AX31" t="e">
        <f>AND('Ark1'!G862,"AAAAAF//rzE=")</f>
        <v>#VALUE!</v>
      </c>
      <c r="AY31" t="e">
        <f>AND('Ark1'!H862,"AAAAAF//rzI=")</f>
        <v>#VALUE!</v>
      </c>
      <c r="AZ31">
        <f>IF('Ark1'!863:863,"AAAAAF//rzM=",0)</f>
        <v>0</v>
      </c>
      <c r="BA31" t="e">
        <f>AND('Ark1'!A863,"AAAAAF//rzQ=")</f>
        <v>#VALUE!</v>
      </c>
      <c r="BB31" t="e">
        <f>AND('Ark1'!B863,"AAAAAF//rzU=")</f>
        <v>#VALUE!</v>
      </c>
      <c r="BC31" t="e">
        <f>AND('Ark1'!C863,"AAAAAF//rzY=")</f>
        <v>#VALUE!</v>
      </c>
      <c r="BD31" t="e">
        <f>AND('Ark1'!D863,"AAAAAF//rzc=")</f>
        <v>#VALUE!</v>
      </c>
      <c r="BE31" t="e">
        <f>AND('Ark1'!E863,"AAAAAF//rzg=")</f>
        <v>#VALUE!</v>
      </c>
      <c r="BF31" t="e">
        <f>AND('Ark1'!F863,"AAAAAF//rzk=")</f>
        <v>#VALUE!</v>
      </c>
      <c r="BG31" t="e">
        <f>AND('Ark1'!G863,"AAAAAF//rzo=")</f>
        <v>#VALUE!</v>
      </c>
      <c r="BH31" t="e">
        <f>AND('Ark1'!H863,"AAAAAF//rzs=")</f>
        <v>#VALUE!</v>
      </c>
      <c r="BI31">
        <f>IF('Ark1'!864:864,"AAAAAF//rzw=",0)</f>
        <v>0</v>
      </c>
      <c r="BJ31" t="e">
        <f>AND('Ark1'!A864,"AAAAAF//rz0=")</f>
        <v>#VALUE!</v>
      </c>
      <c r="BK31" t="e">
        <f>AND('Ark1'!B864,"AAAAAF//rz4=")</f>
        <v>#VALUE!</v>
      </c>
      <c r="BL31" t="e">
        <f>AND('Ark1'!C864,"AAAAAF//rz8=")</f>
        <v>#VALUE!</v>
      </c>
      <c r="BM31" t="e">
        <f>AND('Ark1'!D864,"AAAAAF//r0A=")</f>
        <v>#VALUE!</v>
      </c>
      <c r="BN31" t="e">
        <f>AND('Ark1'!E864,"AAAAAF//r0E=")</f>
        <v>#VALUE!</v>
      </c>
      <c r="BO31" t="e">
        <f>AND('Ark1'!F864,"AAAAAF//r0I=")</f>
        <v>#VALUE!</v>
      </c>
      <c r="BP31" t="e">
        <f>AND('Ark1'!G864,"AAAAAF//r0M=")</f>
        <v>#VALUE!</v>
      </c>
      <c r="BQ31" t="e">
        <f>AND('Ark1'!H864,"AAAAAF//r0Q=")</f>
        <v>#VALUE!</v>
      </c>
      <c r="BR31">
        <f>IF('Ark1'!865:865,"AAAAAF//r0U=",0)</f>
        <v>0</v>
      </c>
      <c r="BS31" t="e">
        <f>AND('Ark1'!A865,"AAAAAF//r0Y=")</f>
        <v>#VALUE!</v>
      </c>
      <c r="BT31" t="e">
        <f>AND('Ark1'!B865,"AAAAAF//r0c=")</f>
        <v>#VALUE!</v>
      </c>
      <c r="BU31" t="e">
        <f>AND('Ark1'!C865,"AAAAAF//r0g=")</f>
        <v>#VALUE!</v>
      </c>
      <c r="BV31" t="e">
        <f>AND('Ark1'!D865,"AAAAAF//r0k=")</f>
        <v>#VALUE!</v>
      </c>
      <c r="BW31" t="e">
        <f>AND('Ark1'!E865,"AAAAAF//r0o=")</f>
        <v>#VALUE!</v>
      </c>
      <c r="BX31" t="e">
        <f>AND('Ark1'!F865,"AAAAAF//r0s=")</f>
        <v>#VALUE!</v>
      </c>
      <c r="BY31" t="e">
        <f>AND('Ark1'!G865,"AAAAAF//r0w=")</f>
        <v>#VALUE!</v>
      </c>
      <c r="BZ31" t="e">
        <f>AND('Ark1'!H865,"AAAAAF//r00=")</f>
        <v>#VALUE!</v>
      </c>
      <c r="CA31">
        <f>IF('Ark1'!866:866,"AAAAAF//r04=",0)</f>
        <v>0</v>
      </c>
      <c r="CB31" t="e">
        <f>AND('Ark1'!A866,"AAAAAF//r08=")</f>
        <v>#VALUE!</v>
      </c>
      <c r="CC31" t="e">
        <f>AND('Ark1'!B866,"AAAAAF//r1A=")</f>
        <v>#VALUE!</v>
      </c>
      <c r="CD31" t="e">
        <f>AND('Ark1'!C866,"AAAAAF//r1E=")</f>
        <v>#VALUE!</v>
      </c>
      <c r="CE31" t="e">
        <f>AND('Ark1'!D866,"AAAAAF//r1I=")</f>
        <v>#VALUE!</v>
      </c>
      <c r="CF31" t="e">
        <f>AND('Ark1'!E866,"AAAAAF//r1M=")</f>
        <v>#VALUE!</v>
      </c>
      <c r="CG31" t="e">
        <f>AND('Ark1'!F866,"AAAAAF//r1Q=")</f>
        <v>#VALUE!</v>
      </c>
      <c r="CH31" t="e">
        <f>AND('Ark1'!G866,"AAAAAF//r1U=")</f>
        <v>#VALUE!</v>
      </c>
      <c r="CI31" t="e">
        <f>AND('Ark1'!H866,"AAAAAF//r1Y=")</f>
        <v>#VALUE!</v>
      </c>
      <c r="CJ31">
        <f>IF('Ark1'!867:867,"AAAAAF//r1c=",0)</f>
        <v>0</v>
      </c>
      <c r="CK31" t="e">
        <f>AND('Ark1'!A867,"AAAAAF//r1g=")</f>
        <v>#VALUE!</v>
      </c>
      <c r="CL31" t="e">
        <f>AND('Ark1'!B867,"AAAAAF//r1k=")</f>
        <v>#VALUE!</v>
      </c>
      <c r="CM31" t="e">
        <f>AND('Ark1'!C867,"AAAAAF//r1o=")</f>
        <v>#VALUE!</v>
      </c>
      <c r="CN31" t="e">
        <f>AND('Ark1'!D867,"AAAAAF//r1s=")</f>
        <v>#VALUE!</v>
      </c>
      <c r="CO31" t="e">
        <f>AND('Ark1'!E867,"AAAAAF//r1w=")</f>
        <v>#VALUE!</v>
      </c>
      <c r="CP31" t="e">
        <f>AND('Ark1'!F867,"AAAAAF//r10=")</f>
        <v>#VALUE!</v>
      </c>
      <c r="CQ31" t="e">
        <f>AND('Ark1'!G867,"AAAAAF//r14=")</f>
        <v>#VALUE!</v>
      </c>
      <c r="CR31" t="e">
        <f>AND('Ark1'!H867,"AAAAAF//r18=")</f>
        <v>#VALUE!</v>
      </c>
      <c r="CS31">
        <f>IF('Ark1'!869:869,"AAAAAF//r2A=",0)</f>
        <v>0</v>
      </c>
      <c r="CT31" t="e">
        <f>AND('Ark1'!A869,"AAAAAF//r2E=")</f>
        <v>#VALUE!</v>
      </c>
      <c r="CU31" t="e">
        <f>AND('Ark1'!B869,"AAAAAF//r2I=")</f>
        <v>#VALUE!</v>
      </c>
      <c r="CV31" t="e">
        <f>AND('Ark1'!C869,"AAAAAF//r2M=")</f>
        <v>#VALUE!</v>
      </c>
      <c r="CW31" t="e">
        <f>AND('Ark1'!D869,"AAAAAF//r2Q=")</f>
        <v>#VALUE!</v>
      </c>
      <c r="CX31" t="e">
        <f>AND('Ark1'!E869,"AAAAAF//r2U=")</f>
        <v>#VALUE!</v>
      </c>
      <c r="CY31" t="e">
        <f>AND('Ark1'!F869,"AAAAAF//r2Y=")</f>
        <v>#VALUE!</v>
      </c>
      <c r="CZ31" t="e">
        <f>AND('Ark1'!G869,"AAAAAF//r2c=")</f>
        <v>#VALUE!</v>
      </c>
      <c r="DA31" t="e">
        <f>AND('Ark1'!H869,"AAAAAF//r2g=")</f>
        <v>#VALUE!</v>
      </c>
      <c r="DB31">
        <f>IF('Ark1'!870:870,"AAAAAF//r2k=",0)</f>
        <v>0</v>
      </c>
      <c r="DC31" t="e">
        <f>AND('Ark1'!A870,"AAAAAF//r2o=")</f>
        <v>#VALUE!</v>
      </c>
      <c r="DD31" t="e">
        <f>AND('Ark1'!B870,"AAAAAF//r2s=")</f>
        <v>#VALUE!</v>
      </c>
      <c r="DE31" t="e">
        <f>AND('Ark1'!C870,"AAAAAF//r2w=")</f>
        <v>#VALUE!</v>
      </c>
      <c r="DF31" t="e">
        <f>AND('Ark1'!D870,"AAAAAF//r20=")</f>
        <v>#VALUE!</v>
      </c>
      <c r="DG31" t="e">
        <f>AND('Ark1'!E870,"AAAAAF//r24=")</f>
        <v>#VALUE!</v>
      </c>
      <c r="DH31" t="e">
        <f>AND('Ark1'!F870,"AAAAAF//r28=")</f>
        <v>#VALUE!</v>
      </c>
      <c r="DI31" t="e">
        <f>AND('Ark1'!G870,"AAAAAF//r3A=")</f>
        <v>#VALUE!</v>
      </c>
      <c r="DJ31" t="e">
        <f>AND('Ark1'!H870,"AAAAAF//r3E=")</f>
        <v>#VALUE!</v>
      </c>
      <c r="DK31">
        <f>IF('Ark1'!871:871,"AAAAAF//r3I=",0)</f>
        <v>0</v>
      </c>
      <c r="DL31" t="e">
        <f>AND('Ark1'!A871,"AAAAAF//r3M=")</f>
        <v>#VALUE!</v>
      </c>
      <c r="DM31" t="e">
        <f>AND('Ark1'!B871,"AAAAAF//r3Q=")</f>
        <v>#VALUE!</v>
      </c>
      <c r="DN31" t="e">
        <f>AND('Ark1'!C871,"AAAAAF//r3U=")</f>
        <v>#VALUE!</v>
      </c>
      <c r="DO31" t="e">
        <f>AND('Ark1'!D871,"AAAAAF//r3Y=")</f>
        <v>#VALUE!</v>
      </c>
      <c r="DP31" t="e">
        <f>AND('Ark1'!E871,"AAAAAF//r3c=")</f>
        <v>#VALUE!</v>
      </c>
      <c r="DQ31" t="e">
        <f>AND('Ark1'!F871,"AAAAAF//r3g=")</f>
        <v>#VALUE!</v>
      </c>
      <c r="DR31" t="e">
        <f>AND('Ark1'!G871,"AAAAAF//r3k=")</f>
        <v>#VALUE!</v>
      </c>
      <c r="DS31" t="e">
        <f>AND('Ark1'!H871,"AAAAAF//r3o=")</f>
        <v>#VALUE!</v>
      </c>
      <c r="DT31">
        <f>IF('Ark1'!872:872,"AAAAAF//r3s=",0)</f>
        <v>0</v>
      </c>
      <c r="DU31" t="e">
        <f>AND('Ark1'!A872,"AAAAAF//r3w=")</f>
        <v>#VALUE!</v>
      </c>
      <c r="DV31" t="e">
        <f>AND('Ark1'!B872,"AAAAAF//r30=")</f>
        <v>#VALUE!</v>
      </c>
      <c r="DW31" t="e">
        <f>AND('Ark1'!C872,"AAAAAF//r34=")</f>
        <v>#VALUE!</v>
      </c>
      <c r="DX31" t="e">
        <f>AND('Ark1'!D872,"AAAAAF//r38=")</f>
        <v>#VALUE!</v>
      </c>
      <c r="DY31" t="e">
        <f>AND('Ark1'!E872,"AAAAAF//r4A=")</f>
        <v>#VALUE!</v>
      </c>
      <c r="DZ31" t="e">
        <f>AND('Ark1'!F872,"AAAAAF//r4E=")</f>
        <v>#VALUE!</v>
      </c>
      <c r="EA31" t="e">
        <f>AND('Ark1'!G872,"AAAAAF//r4I=")</f>
        <v>#VALUE!</v>
      </c>
      <c r="EB31" t="e">
        <f>AND('Ark1'!H872,"AAAAAF//r4M=")</f>
        <v>#VALUE!</v>
      </c>
      <c r="EC31">
        <f>IF('Ark1'!873:873,"AAAAAF//r4Q=",0)</f>
        <v>0</v>
      </c>
      <c r="ED31" t="e">
        <f>AND('Ark1'!A873,"AAAAAF//r4U=")</f>
        <v>#VALUE!</v>
      </c>
      <c r="EE31" t="e">
        <f>AND('Ark1'!B873,"AAAAAF//r4Y=")</f>
        <v>#VALUE!</v>
      </c>
      <c r="EF31" t="e">
        <f>AND('Ark1'!C873,"AAAAAF//r4c=")</f>
        <v>#VALUE!</v>
      </c>
      <c r="EG31" t="e">
        <f>AND('Ark1'!D873,"AAAAAF//r4g=")</f>
        <v>#VALUE!</v>
      </c>
      <c r="EH31" t="e">
        <f>AND('Ark1'!E873,"AAAAAF//r4k=")</f>
        <v>#VALUE!</v>
      </c>
      <c r="EI31" t="e">
        <f>AND('Ark1'!F873,"AAAAAF//r4o=")</f>
        <v>#VALUE!</v>
      </c>
      <c r="EJ31" t="e">
        <f>AND('Ark1'!G873,"AAAAAF//r4s=")</f>
        <v>#VALUE!</v>
      </c>
      <c r="EK31" t="e">
        <f>AND('Ark1'!H873,"AAAAAF//r4w=")</f>
        <v>#VALUE!</v>
      </c>
      <c r="EL31">
        <f>IF('Ark1'!874:874,"AAAAAF//r40=",0)</f>
        <v>0</v>
      </c>
      <c r="EM31" t="e">
        <f>AND('Ark1'!A874,"AAAAAF//r44=")</f>
        <v>#VALUE!</v>
      </c>
      <c r="EN31" t="e">
        <f>AND('Ark1'!B874,"AAAAAF//r48=")</f>
        <v>#VALUE!</v>
      </c>
      <c r="EO31" t="e">
        <f>AND('Ark1'!C874,"AAAAAF//r5A=")</f>
        <v>#VALUE!</v>
      </c>
      <c r="EP31" t="e">
        <f>AND('Ark1'!D874,"AAAAAF//r5E=")</f>
        <v>#VALUE!</v>
      </c>
      <c r="EQ31" t="e">
        <f>AND('Ark1'!E874,"AAAAAF//r5I=")</f>
        <v>#VALUE!</v>
      </c>
      <c r="ER31" t="e">
        <f>AND('Ark1'!F874,"AAAAAF//r5M=")</f>
        <v>#VALUE!</v>
      </c>
      <c r="ES31" t="e">
        <f>AND('Ark1'!G874,"AAAAAF//r5Q=")</f>
        <v>#VALUE!</v>
      </c>
      <c r="ET31" t="e">
        <f>AND('Ark1'!H874,"AAAAAF//r5U=")</f>
        <v>#VALUE!</v>
      </c>
      <c r="EU31">
        <f>IF('Ark1'!876:876,"AAAAAF//r5Y=",0)</f>
        <v>0</v>
      </c>
      <c r="EV31" t="e">
        <f>AND('Ark1'!A876,"AAAAAF//r5c=")</f>
        <v>#VALUE!</v>
      </c>
      <c r="EW31" t="e">
        <f>AND('Ark1'!B876,"AAAAAF//r5g=")</f>
        <v>#VALUE!</v>
      </c>
      <c r="EX31" t="e">
        <f>AND('Ark1'!C876,"AAAAAF//r5k=")</f>
        <v>#VALUE!</v>
      </c>
      <c r="EY31" t="e">
        <f>AND('Ark1'!D876,"AAAAAF//r5o=")</f>
        <v>#VALUE!</v>
      </c>
      <c r="EZ31" t="e">
        <f>AND('Ark1'!E876,"AAAAAF//r5s=")</f>
        <v>#VALUE!</v>
      </c>
      <c r="FA31" t="e">
        <f>AND('Ark1'!F876,"AAAAAF//r5w=")</f>
        <v>#VALUE!</v>
      </c>
      <c r="FB31" t="e">
        <f>AND('Ark1'!G876,"AAAAAF//r50=")</f>
        <v>#VALUE!</v>
      </c>
      <c r="FC31" t="e">
        <f>AND('Ark1'!H876,"AAAAAF//r54=")</f>
        <v>#VALUE!</v>
      </c>
      <c r="FD31">
        <f>IF('Ark1'!877:877,"AAAAAF//r58=",0)</f>
        <v>0</v>
      </c>
      <c r="FE31" t="e">
        <f>AND('Ark1'!A877,"AAAAAF//r6A=")</f>
        <v>#VALUE!</v>
      </c>
      <c r="FF31" t="e">
        <f>AND('Ark1'!B877,"AAAAAF//r6E=")</f>
        <v>#VALUE!</v>
      </c>
      <c r="FG31" t="e">
        <f>AND('Ark1'!C877,"AAAAAF//r6I=")</f>
        <v>#VALUE!</v>
      </c>
      <c r="FH31" t="e">
        <f>AND('Ark1'!D877,"AAAAAF//r6M=")</f>
        <v>#VALUE!</v>
      </c>
      <c r="FI31" t="e">
        <f>AND('Ark1'!E877,"AAAAAF//r6Q=")</f>
        <v>#VALUE!</v>
      </c>
      <c r="FJ31" t="e">
        <f>AND('Ark1'!F877,"AAAAAF//r6U=")</f>
        <v>#VALUE!</v>
      </c>
      <c r="FK31" t="e">
        <f>AND('Ark1'!G877,"AAAAAF//r6Y=")</f>
        <v>#VALUE!</v>
      </c>
      <c r="FL31" t="e">
        <f>AND('Ark1'!H877,"AAAAAF//r6c=")</f>
        <v>#VALUE!</v>
      </c>
      <c r="FM31">
        <f>IF('Ark1'!878:878,"AAAAAF//r6g=",0)</f>
        <v>0</v>
      </c>
      <c r="FN31" t="e">
        <f>AND('Ark1'!A878,"AAAAAF//r6k=")</f>
        <v>#VALUE!</v>
      </c>
      <c r="FO31" t="e">
        <f>AND('Ark1'!B878,"AAAAAF//r6o=")</f>
        <v>#VALUE!</v>
      </c>
      <c r="FP31" t="e">
        <f>AND('Ark1'!C878,"AAAAAF//r6s=")</f>
        <v>#VALUE!</v>
      </c>
      <c r="FQ31" t="e">
        <f>AND('Ark1'!D878,"AAAAAF//r6w=")</f>
        <v>#VALUE!</v>
      </c>
      <c r="FR31" t="e">
        <f>AND('Ark1'!E878,"AAAAAF//r60=")</f>
        <v>#VALUE!</v>
      </c>
      <c r="FS31" t="e">
        <f>AND('Ark1'!F878,"AAAAAF//r64=")</f>
        <v>#VALUE!</v>
      </c>
      <c r="FT31" t="e">
        <f>AND('Ark1'!G878,"AAAAAF//r68=")</f>
        <v>#VALUE!</v>
      </c>
      <c r="FU31" t="e">
        <f>AND('Ark1'!H878,"AAAAAF//r7A=")</f>
        <v>#VALUE!</v>
      </c>
      <c r="FV31">
        <f>IF('Ark1'!879:879,"AAAAAF//r7E=",0)</f>
        <v>0</v>
      </c>
      <c r="FW31" t="e">
        <f>AND('Ark1'!A879,"AAAAAF//r7I=")</f>
        <v>#VALUE!</v>
      </c>
      <c r="FX31" t="e">
        <f>AND('Ark1'!B879,"AAAAAF//r7M=")</f>
        <v>#VALUE!</v>
      </c>
      <c r="FY31" t="e">
        <f>AND('Ark1'!C879,"AAAAAF//r7Q=")</f>
        <v>#VALUE!</v>
      </c>
      <c r="FZ31" t="e">
        <f>AND('Ark1'!D879,"AAAAAF//r7U=")</f>
        <v>#VALUE!</v>
      </c>
      <c r="GA31" t="e">
        <f>AND('Ark1'!E879,"AAAAAF//r7Y=")</f>
        <v>#VALUE!</v>
      </c>
      <c r="GB31" t="e">
        <f>AND('Ark1'!F879,"AAAAAF//r7c=")</f>
        <v>#VALUE!</v>
      </c>
      <c r="GC31" t="e">
        <f>AND('Ark1'!G879,"AAAAAF//r7g=")</f>
        <v>#VALUE!</v>
      </c>
      <c r="GD31" t="e">
        <f>AND('Ark1'!H879,"AAAAAF//r7k=")</f>
        <v>#VALUE!</v>
      </c>
      <c r="GE31">
        <f>IF('Ark1'!880:880,"AAAAAF//r7o=",0)</f>
        <v>0</v>
      </c>
      <c r="GF31" t="e">
        <f>AND('Ark1'!A880,"AAAAAF//r7s=")</f>
        <v>#VALUE!</v>
      </c>
      <c r="GG31" t="e">
        <f>AND('Ark1'!B880,"AAAAAF//r7w=")</f>
        <v>#VALUE!</v>
      </c>
      <c r="GH31" t="e">
        <f>AND('Ark1'!C880,"AAAAAF//r70=")</f>
        <v>#VALUE!</v>
      </c>
      <c r="GI31" t="e">
        <f>AND('Ark1'!D880,"AAAAAF//r74=")</f>
        <v>#VALUE!</v>
      </c>
      <c r="GJ31" t="e">
        <f>AND('Ark1'!E880,"AAAAAF//r78=")</f>
        <v>#VALUE!</v>
      </c>
      <c r="GK31" t="e">
        <f>AND('Ark1'!F880,"AAAAAF//r8A=")</f>
        <v>#VALUE!</v>
      </c>
      <c r="GL31" t="e">
        <f>AND('Ark1'!G880,"AAAAAF//r8E=")</f>
        <v>#VALUE!</v>
      </c>
      <c r="GM31" t="e">
        <f>AND('Ark1'!H880,"AAAAAF//r8I=")</f>
        <v>#VALUE!</v>
      </c>
      <c r="GN31">
        <f>IF('Ark1'!881:881,"AAAAAF//r8M=",0)</f>
        <v>0</v>
      </c>
      <c r="GO31" t="e">
        <f>AND('Ark1'!A881,"AAAAAF//r8Q=")</f>
        <v>#VALUE!</v>
      </c>
      <c r="GP31" t="e">
        <f>AND('Ark1'!B881,"AAAAAF//r8U=")</f>
        <v>#VALUE!</v>
      </c>
      <c r="GQ31" t="e">
        <f>AND('Ark1'!C881,"AAAAAF//r8Y=")</f>
        <v>#VALUE!</v>
      </c>
      <c r="GR31" t="e">
        <f>AND('Ark1'!D881,"AAAAAF//r8c=")</f>
        <v>#VALUE!</v>
      </c>
      <c r="GS31" t="e">
        <f>AND('Ark1'!E881,"AAAAAF//r8g=")</f>
        <v>#VALUE!</v>
      </c>
      <c r="GT31" t="e">
        <f>AND('Ark1'!F881,"AAAAAF//r8k=")</f>
        <v>#VALUE!</v>
      </c>
      <c r="GU31" t="e">
        <f>AND('Ark1'!G881,"AAAAAF//r8o=")</f>
        <v>#VALUE!</v>
      </c>
      <c r="GV31" t="e">
        <f>AND('Ark1'!H881,"AAAAAF//r8s=")</f>
        <v>#VALUE!</v>
      </c>
      <c r="GW31">
        <f>IF('Ark1'!882:882,"AAAAAF//r8w=",0)</f>
        <v>0</v>
      </c>
      <c r="GX31" t="e">
        <f>AND('Ark1'!A882,"AAAAAF//r80=")</f>
        <v>#VALUE!</v>
      </c>
      <c r="GY31" t="e">
        <f>AND('Ark1'!B882,"AAAAAF//r84=")</f>
        <v>#VALUE!</v>
      </c>
      <c r="GZ31" t="e">
        <f>AND('Ark1'!C882,"AAAAAF//r88=")</f>
        <v>#VALUE!</v>
      </c>
      <c r="HA31" t="e">
        <f>AND('Ark1'!D882,"AAAAAF//r9A=")</f>
        <v>#VALUE!</v>
      </c>
      <c r="HB31" t="e">
        <f>AND('Ark1'!E882,"AAAAAF//r9E=")</f>
        <v>#VALUE!</v>
      </c>
      <c r="HC31" t="e">
        <f>AND('Ark1'!F882,"AAAAAF//r9I=")</f>
        <v>#VALUE!</v>
      </c>
      <c r="HD31" t="e">
        <f>AND('Ark1'!G882,"AAAAAF//r9M=")</f>
        <v>#VALUE!</v>
      </c>
      <c r="HE31" t="e">
        <f>AND('Ark1'!H882,"AAAAAF//r9Q=")</f>
        <v>#VALUE!</v>
      </c>
      <c r="HF31">
        <f>IF('Ark1'!883:883,"AAAAAF//r9U=",0)</f>
        <v>0</v>
      </c>
      <c r="HG31" t="e">
        <f>AND('Ark1'!A883,"AAAAAF//r9Y=")</f>
        <v>#VALUE!</v>
      </c>
      <c r="HH31" t="e">
        <f>AND('Ark1'!B883,"AAAAAF//r9c=")</f>
        <v>#VALUE!</v>
      </c>
      <c r="HI31" t="e">
        <f>AND('Ark1'!C883,"AAAAAF//r9g=")</f>
        <v>#VALUE!</v>
      </c>
      <c r="HJ31" t="e">
        <f>AND('Ark1'!D883,"AAAAAF//r9k=")</f>
        <v>#VALUE!</v>
      </c>
      <c r="HK31" t="e">
        <f>AND('Ark1'!E883,"AAAAAF//r9o=")</f>
        <v>#VALUE!</v>
      </c>
      <c r="HL31" t="e">
        <f>AND('Ark1'!F883,"AAAAAF//r9s=")</f>
        <v>#VALUE!</v>
      </c>
      <c r="HM31" t="e">
        <f>AND('Ark1'!G883,"AAAAAF//r9w=")</f>
        <v>#VALUE!</v>
      </c>
      <c r="HN31" t="e">
        <f>AND('Ark1'!H883,"AAAAAF//r90=")</f>
        <v>#VALUE!</v>
      </c>
      <c r="HO31">
        <f>IF('Ark1'!884:884,"AAAAAF//r94=",0)</f>
        <v>0</v>
      </c>
      <c r="HP31" t="e">
        <f>AND('Ark1'!A884,"AAAAAF//r98=")</f>
        <v>#VALUE!</v>
      </c>
      <c r="HQ31" t="e">
        <f>AND('Ark1'!B884,"AAAAAF//r+A=")</f>
        <v>#VALUE!</v>
      </c>
      <c r="HR31" t="e">
        <f>AND('Ark1'!C884,"AAAAAF//r+E=")</f>
        <v>#VALUE!</v>
      </c>
      <c r="HS31" t="e">
        <f>AND('Ark1'!D884,"AAAAAF//r+I=")</f>
        <v>#VALUE!</v>
      </c>
      <c r="HT31" t="e">
        <f>AND('Ark1'!E884,"AAAAAF//r+M=")</f>
        <v>#VALUE!</v>
      </c>
      <c r="HU31" t="e">
        <f>AND('Ark1'!F884,"AAAAAF//r+Q=")</f>
        <v>#VALUE!</v>
      </c>
      <c r="HV31" t="e">
        <f>AND('Ark1'!G884,"AAAAAF//r+U=")</f>
        <v>#VALUE!</v>
      </c>
      <c r="HW31" t="e">
        <f>AND('Ark1'!H884,"AAAAAF//r+Y=")</f>
        <v>#VALUE!</v>
      </c>
      <c r="HX31">
        <f>IF('Ark1'!885:885,"AAAAAF//r+c=",0)</f>
        <v>0</v>
      </c>
      <c r="HY31" t="e">
        <f>AND('Ark1'!A885,"AAAAAF//r+g=")</f>
        <v>#VALUE!</v>
      </c>
      <c r="HZ31" t="e">
        <f>AND('Ark1'!B885,"AAAAAF//r+k=")</f>
        <v>#VALUE!</v>
      </c>
      <c r="IA31" t="e">
        <f>AND('Ark1'!C885,"AAAAAF//r+o=")</f>
        <v>#VALUE!</v>
      </c>
      <c r="IB31" t="e">
        <f>AND('Ark1'!D885,"AAAAAF//r+s=")</f>
        <v>#VALUE!</v>
      </c>
      <c r="IC31" t="e">
        <f>AND('Ark1'!E885,"AAAAAF//r+w=")</f>
        <v>#VALUE!</v>
      </c>
      <c r="ID31" t="e">
        <f>AND('Ark1'!F885,"AAAAAF//r+0=")</f>
        <v>#VALUE!</v>
      </c>
      <c r="IE31" t="e">
        <f>AND('Ark1'!G885,"AAAAAF//r+4=")</f>
        <v>#VALUE!</v>
      </c>
      <c r="IF31" t="e">
        <f>AND('Ark1'!H885,"AAAAAF//r+8=")</f>
        <v>#VALUE!</v>
      </c>
      <c r="IG31">
        <f>IF('Ark1'!886:886,"AAAAAF//r/A=",0)</f>
        <v>0</v>
      </c>
      <c r="IH31" t="e">
        <f>AND('Ark1'!A886,"AAAAAF//r/E=")</f>
        <v>#VALUE!</v>
      </c>
      <c r="II31" t="e">
        <f>AND('Ark1'!B886,"AAAAAF//r/I=")</f>
        <v>#VALUE!</v>
      </c>
      <c r="IJ31" t="e">
        <f>AND('Ark1'!C886,"AAAAAF//r/M=")</f>
        <v>#VALUE!</v>
      </c>
      <c r="IK31" t="e">
        <f>AND('Ark1'!D886,"AAAAAF//r/Q=")</f>
        <v>#VALUE!</v>
      </c>
      <c r="IL31" t="e">
        <f>AND('Ark1'!E886,"AAAAAF//r/U=")</f>
        <v>#VALUE!</v>
      </c>
      <c r="IM31" t="e">
        <f>AND('Ark1'!F886,"AAAAAF//r/Y=")</f>
        <v>#VALUE!</v>
      </c>
      <c r="IN31" t="e">
        <f>AND('Ark1'!G886,"AAAAAF//r/c=")</f>
        <v>#VALUE!</v>
      </c>
      <c r="IO31" t="e">
        <f>AND('Ark1'!H886,"AAAAAF//r/g=")</f>
        <v>#VALUE!</v>
      </c>
      <c r="IP31">
        <f>IF('Ark1'!887:887,"AAAAAF//r/k=",0)</f>
        <v>0</v>
      </c>
      <c r="IQ31" t="e">
        <f>AND('Ark1'!A887,"AAAAAF//r/o=")</f>
        <v>#VALUE!</v>
      </c>
      <c r="IR31" t="e">
        <f>AND('Ark1'!B887,"AAAAAF//r/s=")</f>
        <v>#VALUE!</v>
      </c>
      <c r="IS31" t="e">
        <f>AND('Ark1'!C887,"AAAAAF//r/w=")</f>
        <v>#VALUE!</v>
      </c>
      <c r="IT31" t="e">
        <f>AND('Ark1'!D887,"AAAAAF//r/0=")</f>
        <v>#VALUE!</v>
      </c>
      <c r="IU31" t="e">
        <f>AND('Ark1'!E887,"AAAAAF//r/4=")</f>
        <v>#VALUE!</v>
      </c>
      <c r="IV31" t="e">
        <f>AND('Ark1'!F887,"AAAAAF//r/8=")</f>
        <v>#VALUE!</v>
      </c>
    </row>
    <row r="32" spans="1:256" x14ac:dyDescent="0.25">
      <c r="A32" t="e">
        <f>AND('Ark1'!G887,"AAAAAH89vwA=")</f>
        <v>#VALUE!</v>
      </c>
      <c r="B32" t="e">
        <f>AND('Ark1'!H887,"AAAAAH89vwE=")</f>
        <v>#VALUE!</v>
      </c>
      <c r="C32">
        <f>IF('Ark1'!888:888,"AAAAAH89vwI=",0)</f>
        <v>0</v>
      </c>
      <c r="D32" t="e">
        <f>AND('Ark1'!A888,"AAAAAH89vwM=")</f>
        <v>#VALUE!</v>
      </c>
      <c r="E32" t="e">
        <f>AND('Ark1'!B888,"AAAAAH89vwQ=")</f>
        <v>#VALUE!</v>
      </c>
      <c r="F32" t="e">
        <f>AND('Ark1'!C888,"AAAAAH89vwU=")</f>
        <v>#VALUE!</v>
      </c>
      <c r="G32" t="e">
        <f>AND('Ark1'!D888,"AAAAAH89vwY=")</f>
        <v>#VALUE!</v>
      </c>
      <c r="H32" t="e">
        <f>AND('Ark1'!E888,"AAAAAH89vwc=")</f>
        <v>#VALUE!</v>
      </c>
      <c r="I32" t="e">
        <f>AND('Ark1'!F888,"AAAAAH89vwg=")</f>
        <v>#VALUE!</v>
      </c>
      <c r="J32" t="e">
        <f>AND('Ark1'!G888,"AAAAAH89vwk=")</f>
        <v>#VALUE!</v>
      </c>
      <c r="K32" t="e">
        <f>AND('Ark1'!H888,"AAAAAH89vwo=")</f>
        <v>#VALUE!</v>
      </c>
      <c r="L32">
        <f>IF('Ark1'!889:889,"AAAAAH89vws=",0)</f>
        <v>0</v>
      </c>
      <c r="M32" t="e">
        <f>AND('Ark1'!A889,"AAAAAH89vww=")</f>
        <v>#VALUE!</v>
      </c>
      <c r="N32" t="e">
        <f>AND('Ark1'!B889,"AAAAAH89vw0=")</f>
        <v>#VALUE!</v>
      </c>
      <c r="O32" t="e">
        <f>AND('Ark1'!C889,"AAAAAH89vw4=")</f>
        <v>#VALUE!</v>
      </c>
      <c r="P32" t="e">
        <f>AND('Ark1'!D889,"AAAAAH89vw8=")</f>
        <v>#VALUE!</v>
      </c>
      <c r="Q32" t="e">
        <f>AND('Ark1'!E889,"AAAAAH89vxA=")</f>
        <v>#VALUE!</v>
      </c>
      <c r="R32" t="e">
        <f>AND('Ark1'!F889,"AAAAAH89vxE=")</f>
        <v>#VALUE!</v>
      </c>
      <c r="S32" t="e">
        <f>AND('Ark1'!G889,"AAAAAH89vxI=")</f>
        <v>#VALUE!</v>
      </c>
      <c r="T32" t="e">
        <f>AND('Ark1'!H889,"AAAAAH89vxM=")</f>
        <v>#VALUE!</v>
      </c>
      <c r="U32">
        <f>IF('Ark1'!890:890,"AAAAAH89vxQ=",0)</f>
        <v>0</v>
      </c>
      <c r="V32" t="e">
        <f>AND('Ark1'!A890,"AAAAAH89vxU=")</f>
        <v>#VALUE!</v>
      </c>
      <c r="W32" t="e">
        <f>AND('Ark1'!B890,"AAAAAH89vxY=")</f>
        <v>#VALUE!</v>
      </c>
      <c r="X32" t="e">
        <f>AND('Ark1'!C890,"AAAAAH89vxc=")</f>
        <v>#VALUE!</v>
      </c>
      <c r="Y32" t="e">
        <f>AND('Ark1'!D890,"AAAAAH89vxg=")</f>
        <v>#VALUE!</v>
      </c>
      <c r="Z32" t="e">
        <f>AND('Ark1'!E890,"AAAAAH89vxk=")</f>
        <v>#VALUE!</v>
      </c>
      <c r="AA32" t="e">
        <f>AND('Ark1'!F890,"AAAAAH89vxo=")</f>
        <v>#VALUE!</v>
      </c>
      <c r="AB32" t="e">
        <f>AND('Ark1'!G890,"AAAAAH89vxs=")</f>
        <v>#VALUE!</v>
      </c>
      <c r="AC32" t="e">
        <f>AND('Ark1'!H890,"AAAAAH89vxw=")</f>
        <v>#VALUE!</v>
      </c>
      <c r="AD32">
        <f>IF('Ark1'!891:891,"AAAAAH89vx0=",0)</f>
        <v>0</v>
      </c>
      <c r="AE32" t="e">
        <f>AND('Ark1'!A891,"AAAAAH89vx4=")</f>
        <v>#VALUE!</v>
      </c>
      <c r="AF32" t="e">
        <f>AND('Ark1'!B891,"AAAAAH89vx8=")</f>
        <v>#VALUE!</v>
      </c>
      <c r="AG32" t="e">
        <f>AND('Ark1'!C891,"AAAAAH89vyA=")</f>
        <v>#VALUE!</v>
      </c>
      <c r="AH32" t="e">
        <f>AND('Ark1'!D891,"AAAAAH89vyE=")</f>
        <v>#VALUE!</v>
      </c>
      <c r="AI32" t="e">
        <f>AND('Ark1'!E891,"AAAAAH89vyI=")</f>
        <v>#VALUE!</v>
      </c>
      <c r="AJ32" t="e">
        <f>AND('Ark1'!F891,"AAAAAH89vyM=")</f>
        <v>#VALUE!</v>
      </c>
      <c r="AK32" t="e">
        <f>AND('Ark1'!G891,"AAAAAH89vyQ=")</f>
        <v>#VALUE!</v>
      </c>
      <c r="AL32" t="e">
        <f>AND('Ark1'!H891,"AAAAAH89vyU=")</f>
        <v>#VALUE!</v>
      </c>
      <c r="AM32">
        <f>IF('Ark1'!892:892,"AAAAAH89vyY=",0)</f>
        <v>0</v>
      </c>
      <c r="AN32" t="e">
        <f>AND('Ark1'!A892,"AAAAAH89vyc=")</f>
        <v>#VALUE!</v>
      </c>
      <c r="AO32" t="e">
        <f>AND('Ark1'!B892,"AAAAAH89vyg=")</f>
        <v>#VALUE!</v>
      </c>
      <c r="AP32" t="e">
        <f>AND('Ark1'!C892,"AAAAAH89vyk=")</f>
        <v>#VALUE!</v>
      </c>
      <c r="AQ32" t="e">
        <f>AND('Ark1'!D892,"AAAAAH89vyo=")</f>
        <v>#VALUE!</v>
      </c>
      <c r="AR32" t="e">
        <f>AND('Ark1'!E892,"AAAAAH89vys=")</f>
        <v>#VALUE!</v>
      </c>
      <c r="AS32" t="e">
        <f>AND('Ark1'!F892,"AAAAAH89vyw=")</f>
        <v>#VALUE!</v>
      </c>
      <c r="AT32" t="e">
        <f>AND('Ark1'!G892,"AAAAAH89vy0=")</f>
        <v>#VALUE!</v>
      </c>
      <c r="AU32" t="e">
        <f>AND('Ark1'!H892,"AAAAAH89vy4=")</f>
        <v>#VALUE!</v>
      </c>
      <c r="AV32">
        <f>IF('Ark1'!893:893,"AAAAAH89vy8=",0)</f>
        <v>0</v>
      </c>
      <c r="AW32" t="e">
        <f>AND('Ark1'!A893,"AAAAAH89vzA=")</f>
        <v>#VALUE!</v>
      </c>
      <c r="AX32" t="e">
        <f>AND('Ark1'!B893,"AAAAAH89vzE=")</f>
        <v>#VALUE!</v>
      </c>
      <c r="AY32" t="e">
        <f>AND('Ark1'!C893,"AAAAAH89vzI=")</f>
        <v>#VALUE!</v>
      </c>
      <c r="AZ32" t="e">
        <f>AND('Ark1'!D893,"AAAAAH89vzM=")</f>
        <v>#VALUE!</v>
      </c>
      <c r="BA32" t="e">
        <f>AND('Ark1'!E893,"AAAAAH89vzQ=")</f>
        <v>#VALUE!</v>
      </c>
      <c r="BB32" t="e">
        <f>AND('Ark1'!F893,"AAAAAH89vzU=")</f>
        <v>#VALUE!</v>
      </c>
      <c r="BC32" t="e">
        <f>AND('Ark1'!G893,"AAAAAH89vzY=")</f>
        <v>#VALUE!</v>
      </c>
      <c r="BD32" t="e">
        <f>AND('Ark1'!H893,"AAAAAH89vzc=")</f>
        <v>#VALUE!</v>
      </c>
      <c r="BE32">
        <f>IF('Ark1'!894:894,"AAAAAH89vzg=",0)</f>
        <v>0</v>
      </c>
      <c r="BF32" t="e">
        <f>AND('Ark1'!A894,"AAAAAH89vzk=")</f>
        <v>#VALUE!</v>
      </c>
      <c r="BG32" t="e">
        <f>AND('Ark1'!B894,"AAAAAH89vzo=")</f>
        <v>#VALUE!</v>
      </c>
      <c r="BH32" t="e">
        <f>AND('Ark1'!C894,"AAAAAH89vzs=")</f>
        <v>#VALUE!</v>
      </c>
      <c r="BI32" t="e">
        <f>AND('Ark1'!D894,"AAAAAH89vzw=")</f>
        <v>#VALUE!</v>
      </c>
      <c r="BJ32" t="e">
        <f>AND('Ark1'!E894,"AAAAAH89vz0=")</f>
        <v>#VALUE!</v>
      </c>
      <c r="BK32" t="e">
        <f>AND('Ark1'!F894,"AAAAAH89vz4=")</f>
        <v>#VALUE!</v>
      </c>
      <c r="BL32" t="e">
        <f>AND('Ark1'!G894,"AAAAAH89vz8=")</f>
        <v>#VALUE!</v>
      </c>
      <c r="BM32" t="e">
        <f>AND('Ark1'!H894,"AAAAAH89v0A=")</f>
        <v>#VALUE!</v>
      </c>
      <c r="BN32">
        <f>IF('Ark1'!895:895,"AAAAAH89v0E=",0)</f>
        <v>0</v>
      </c>
      <c r="BO32" t="e">
        <f>AND('Ark1'!A895,"AAAAAH89v0I=")</f>
        <v>#VALUE!</v>
      </c>
      <c r="BP32" t="e">
        <f>AND('Ark1'!B895,"AAAAAH89v0M=")</f>
        <v>#VALUE!</v>
      </c>
      <c r="BQ32" t="e">
        <f>AND('Ark1'!C895,"AAAAAH89v0Q=")</f>
        <v>#VALUE!</v>
      </c>
      <c r="BR32" t="e">
        <f>AND('Ark1'!D895,"AAAAAH89v0U=")</f>
        <v>#VALUE!</v>
      </c>
      <c r="BS32" t="e">
        <f>AND('Ark1'!E895,"AAAAAH89v0Y=")</f>
        <v>#VALUE!</v>
      </c>
      <c r="BT32" t="e">
        <f>AND('Ark1'!F895,"AAAAAH89v0c=")</f>
        <v>#VALUE!</v>
      </c>
      <c r="BU32" t="e">
        <f>AND('Ark1'!G895,"AAAAAH89v0g=")</f>
        <v>#VALUE!</v>
      </c>
      <c r="BV32" t="e">
        <f>AND('Ark1'!H895,"AAAAAH89v0k=")</f>
        <v>#VALUE!</v>
      </c>
      <c r="BW32">
        <f>IF('Ark1'!896:896,"AAAAAH89v0o=",0)</f>
        <v>0</v>
      </c>
      <c r="BX32" t="e">
        <f>AND('Ark1'!A896,"AAAAAH89v0s=")</f>
        <v>#VALUE!</v>
      </c>
      <c r="BY32" t="e">
        <f>AND('Ark1'!B896,"AAAAAH89v0w=")</f>
        <v>#VALUE!</v>
      </c>
      <c r="BZ32" t="e">
        <f>AND('Ark1'!C896,"AAAAAH89v00=")</f>
        <v>#VALUE!</v>
      </c>
      <c r="CA32" t="e">
        <f>AND('Ark1'!D896,"AAAAAH89v04=")</f>
        <v>#VALUE!</v>
      </c>
      <c r="CB32" t="e">
        <f>AND('Ark1'!E896,"AAAAAH89v08=")</f>
        <v>#VALUE!</v>
      </c>
      <c r="CC32" t="e">
        <f>AND('Ark1'!F896,"AAAAAH89v1A=")</f>
        <v>#VALUE!</v>
      </c>
      <c r="CD32" t="e">
        <f>AND('Ark1'!G896,"AAAAAH89v1E=")</f>
        <v>#VALUE!</v>
      </c>
      <c r="CE32" t="e">
        <f>AND('Ark1'!H896,"AAAAAH89v1I=")</f>
        <v>#VALUE!</v>
      </c>
      <c r="CF32">
        <f>IF('Ark1'!897:897,"AAAAAH89v1M=",0)</f>
        <v>0</v>
      </c>
      <c r="CG32" t="e">
        <f>AND('Ark1'!A897,"AAAAAH89v1Q=")</f>
        <v>#VALUE!</v>
      </c>
      <c r="CH32" t="e">
        <f>AND('Ark1'!B897,"AAAAAH89v1U=")</f>
        <v>#VALUE!</v>
      </c>
      <c r="CI32" t="e">
        <f>AND('Ark1'!C897,"AAAAAH89v1Y=")</f>
        <v>#VALUE!</v>
      </c>
      <c r="CJ32" t="e">
        <f>AND('Ark1'!D897,"AAAAAH89v1c=")</f>
        <v>#VALUE!</v>
      </c>
      <c r="CK32" t="e">
        <f>AND('Ark1'!E897,"AAAAAH89v1g=")</f>
        <v>#VALUE!</v>
      </c>
      <c r="CL32" t="e">
        <f>AND('Ark1'!F897,"AAAAAH89v1k=")</f>
        <v>#VALUE!</v>
      </c>
      <c r="CM32" t="e">
        <f>AND('Ark1'!G897,"AAAAAH89v1o=")</f>
        <v>#VALUE!</v>
      </c>
      <c r="CN32" t="e">
        <f>AND('Ark1'!H897,"AAAAAH89v1s=")</f>
        <v>#VALUE!</v>
      </c>
      <c r="CO32">
        <f>IF('Ark1'!898:898,"AAAAAH89v1w=",0)</f>
        <v>0</v>
      </c>
      <c r="CP32" t="e">
        <f>AND('Ark1'!A898,"AAAAAH89v10=")</f>
        <v>#VALUE!</v>
      </c>
      <c r="CQ32" t="e">
        <f>AND('Ark1'!B898,"AAAAAH89v14=")</f>
        <v>#VALUE!</v>
      </c>
      <c r="CR32" t="e">
        <f>AND('Ark1'!C898,"AAAAAH89v18=")</f>
        <v>#VALUE!</v>
      </c>
      <c r="CS32" t="e">
        <f>AND('Ark1'!D898,"AAAAAH89v2A=")</f>
        <v>#VALUE!</v>
      </c>
      <c r="CT32" t="e">
        <f>AND('Ark1'!E898,"AAAAAH89v2E=")</f>
        <v>#VALUE!</v>
      </c>
      <c r="CU32" t="e">
        <f>AND('Ark1'!F898,"AAAAAH89v2I=")</f>
        <v>#VALUE!</v>
      </c>
      <c r="CV32" t="e">
        <f>AND('Ark1'!G898,"AAAAAH89v2M=")</f>
        <v>#VALUE!</v>
      </c>
      <c r="CW32" t="e">
        <f>AND('Ark1'!H898,"AAAAAH89v2Q=")</f>
        <v>#VALUE!</v>
      </c>
      <c r="CX32">
        <f>IF('Ark1'!899:899,"AAAAAH89v2U=",0)</f>
        <v>0</v>
      </c>
      <c r="CY32" t="e">
        <f>AND('Ark1'!A899,"AAAAAH89v2Y=")</f>
        <v>#VALUE!</v>
      </c>
      <c r="CZ32" t="e">
        <f>AND('Ark1'!B899,"AAAAAH89v2c=")</f>
        <v>#VALUE!</v>
      </c>
      <c r="DA32" t="e">
        <f>AND('Ark1'!C899,"AAAAAH89v2g=")</f>
        <v>#VALUE!</v>
      </c>
      <c r="DB32" t="e">
        <f>AND('Ark1'!D899,"AAAAAH89v2k=")</f>
        <v>#VALUE!</v>
      </c>
      <c r="DC32" t="e">
        <f>AND('Ark1'!E899,"AAAAAH89v2o=")</f>
        <v>#VALUE!</v>
      </c>
      <c r="DD32" t="e">
        <f>AND('Ark1'!F899,"AAAAAH89v2s=")</f>
        <v>#VALUE!</v>
      </c>
      <c r="DE32" t="e">
        <f>AND('Ark1'!G899,"AAAAAH89v2w=")</f>
        <v>#VALUE!</v>
      </c>
      <c r="DF32" t="e">
        <f>AND('Ark1'!H899,"AAAAAH89v20=")</f>
        <v>#VALUE!</v>
      </c>
      <c r="DG32">
        <f>IF('Ark1'!900:900,"AAAAAH89v24=",0)</f>
        <v>0</v>
      </c>
      <c r="DH32" t="e">
        <f>AND('Ark1'!A900,"AAAAAH89v28=")</f>
        <v>#VALUE!</v>
      </c>
      <c r="DI32" t="e">
        <f>AND('Ark1'!B900,"AAAAAH89v3A=")</f>
        <v>#VALUE!</v>
      </c>
      <c r="DJ32" t="e">
        <f>AND('Ark1'!C900,"AAAAAH89v3E=")</f>
        <v>#VALUE!</v>
      </c>
      <c r="DK32" t="e">
        <f>AND('Ark1'!D900,"AAAAAH89v3I=")</f>
        <v>#VALUE!</v>
      </c>
      <c r="DL32" t="e">
        <f>AND('Ark1'!E900,"AAAAAH89v3M=")</f>
        <v>#VALUE!</v>
      </c>
      <c r="DM32" t="e">
        <f>AND('Ark1'!F900,"AAAAAH89v3Q=")</f>
        <v>#VALUE!</v>
      </c>
      <c r="DN32" t="e">
        <f>AND('Ark1'!G900,"AAAAAH89v3U=")</f>
        <v>#VALUE!</v>
      </c>
      <c r="DO32" t="e">
        <f>AND('Ark1'!H900,"AAAAAH89v3Y=")</f>
        <v>#VALUE!</v>
      </c>
      <c r="DP32">
        <f>IF('Ark1'!901:901,"AAAAAH89v3c=",0)</f>
        <v>0</v>
      </c>
      <c r="DQ32" t="e">
        <f>AND('Ark1'!A901,"AAAAAH89v3g=")</f>
        <v>#VALUE!</v>
      </c>
      <c r="DR32" t="e">
        <f>AND('Ark1'!B901,"AAAAAH89v3k=")</f>
        <v>#VALUE!</v>
      </c>
      <c r="DS32" t="e">
        <f>AND('Ark1'!C901,"AAAAAH89v3o=")</f>
        <v>#VALUE!</v>
      </c>
      <c r="DT32" t="e">
        <f>AND('Ark1'!D901,"AAAAAH89v3s=")</f>
        <v>#VALUE!</v>
      </c>
      <c r="DU32" t="e">
        <f>AND('Ark1'!E901,"AAAAAH89v3w=")</f>
        <v>#VALUE!</v>
      </c>
      <c r="DV32" t="e">
        <f>AND('Ark1'!F901,"AAAAAH89v30=")</f>
        <v>#VALUE!</v>
      </c>
      <c r="DW32" t="e">
        <f>AND('Ark1'!G901,"AAAAAH89v34=")</f>
        <v>#VALUE!</v>
      </c>
      <c r="DX32" t="e">
        <f>AND('Ark1'!H901,"AAAAAH89v38=")</f>
        <v>#VALUE!</v>
      </c>
      <c r="DY32">
        <f>IF('Ark1'!902:902,"AAAAAH89v4A=",0)</f>
        <v>0</v>
      </c>
      <c r="DZ32" t="e">
        <f>AND('Ark1'!A902,"AAAAAH89v4E=")</f>
        <v>#VALUE!</v>
      </c>
      <c r="EA32" t="e">
        <f>AND('Ark1'!B902,"AAAAAH89v4I=")</f>
        <v>#VALUE!</v>
      </c>
      <c r="EB32" t="e">
        <f>AND('Ark1'!C902,"AAAAAH89v4M=")</f>
        <v>#VALUE!</v>
      </c>
      <c r="EC32" t="e">
        <f>AND('Ark1'!D902,"AAAAAH89v4Q=")</f>
        <v>#VALUE!</v>
      </c>
      <c r="ED32" t="e">
        <f>AND('Ark1'!E902,"AAAAAH89v4U=")</f>
        <v>#VALUE!</v>
      </c>
      <c r="EE32" t="e">
        <f>AND('Ark1'!F902,"AAAAAH89v4Y=")</f>
        <v>#VALUE!</v>
      </c>
      <c r="EF32" t="e">
        <f>AND('Ark1'!G902,"AAAAAH89v4c=")</f>
        <v>#VALUE!</v>
      </c>
      <c r="EG32" t="e">
        <f>AND('Ark1'!H902,"AAAAAH89v4g=")</f>
        <v>#VALUE!</v>
      </c>
      <c r="EH32">
        <f>IF('Ark1'!903:903,"AAAAAH89v4k=",0)</f>
        <v>0</v>
      </c>
      <c r="EI32" t="e">
        <f>AND('Ark1'!A903,"AAAAAH89v4o=")</f>
        <v>#VALUE!</v>
      </c>
      <c r="EJ32" t="e">
        <f>AND('Ark1'!B903,"AAAAAH89v4s=")</f>
        <v>#VALUE!</v>
      </c>
      <c r="EK32" t="e">
        <f>AND('Ark1'!C903,"AAAAAH89v4w=")</f>
        <v>#VALUE!</v>
      </c>
      <c r="EL32" t="e">
        <f>AND('Ark1'!D903,"AAAAAH89v40=")</f>
        <v>#VALUE!</v>
      </c>
      <c r="EM32" t="e">
        <f>AND('Ark1'!E903,"AAAAAH89v44=")</f>
        <v>#VALUE!</v>
      </c>
      <c r="EN32" t="e">
        <f>AND('Ark1'!F903,"AAAAAH89v48=")</f>
        <v>#VALUE!</v>
      </c>
      <c r="EO32" t="e">
        <f>AND('Ark1'!G903,"AAAAAH89v5A=")</f>
        <v>#VALUE!</v>
      </c>
      <c r="EP32" t="e">
        <f>AND('Ark1'!H903,"AAAAAH89v5E=")</f>
        <v>#VALUE!</v>
      </c>
      <c r="EQ32">
        <f>IF('Ark1'!904:904,"AAAAAH89v5I=",0)</f>
        <v>0</v>
      </c>
      <c r="ER32" t="e">
        <f>AND('Ark1'!A904,"AAAAAH89v5M=")</f>
        <v>#VALUE!</v>
      </c>
      <c r="ES32" t="e">
        <f>AND('Ark1'!B904,"AAAAAH89v5Q=")</f>
        <v>#VALUE!</v>
      </c>
      <c r="ET32" t="e">
        <f>AND('Ark1'!C904,"AAAAAH89v5U=")</f>
        <v>#VALUE!</v>
      </c>
      <c r="EU32" t="e">
        <f>AND('Ark1'!D904,"AAAAAH89v5Y=")</f>
        <v>#VALUE!</v>
      </c>
      <c r="EV32" t="e">
        <f>AND('Ark1'!E904,"AAAAAH89v5c=")</f>
        <v>#VALUE!</v>
      </c>
      <c r="EW32" t="e">
        <f>AND('Ark1'!F904,"AAAAAH89v5g=")</f>
        <v>#VALUE!</v>
      </c>
      <c r="EX32" t="e">
        <f>AND('Ark1'!G904,"AAAAAH89v5k=")</f>
        <v>#VALUE!</v>
      </c>
      <c r="EY32" t="e">
        <f>AND('Ark1'!H904,"AAAAAH89v5o=")</f>
        <v>#VALUE!</v>
      </c>
      <c r="EZ32">
        <f>IF('Ark1'!905:905,"AAAAAH89v5s=",0)</f>
        <v>0</v>
      </c>
      <c r="FA32" t="e">
        <f>AND('Ark1'!A905,"AAAAAH89v5w=")</f>
        <v>#VALUE!</v>
      </c>
      <c r="FB32" t="e">
        <f>AND('Ark1'!B905,"AAAAAH89v50=")</f>
        <v>#VALUE!</v>
      </c>
      <c r="FC32" t="e">
        <f>AND('Ark1'!C905,"AAAAAH89v54=")</f>
        <v>#VALUE!</v>
      </c>
      <c r="FD32" t="e">
        <f>AND('Ark1'!D905,"AAAAAH89v58=")</f>
        <v>#VALUE!</v>
      </c>
      <c r="FE32" t="e">
        <f>AND('Ark1'!E905,"AAAAAH89v6A=")</f>
        <v>#VALUE!</v>
      </c>
      <c r="FF32" t="e">
        <f>AND('Ark1'!F905,"AAAAAH89v6E=")</f>
        <v>#VALUE!</v>
      </c>
      <c r="FG32" t="e">
        <f>AND('Ark1'!G905,"AAAAAH89v6I=")</f>
        <v>#VALUE!</v>
      </c>
      <c r="FH32" t="e">
        <f>AND('Ark1'!H905,"AAAAAH89v6M=")</f>
        <v>#VALUE!</v>
      </c>
      <c r="FI32">
        <f>IF('Ark1'!906:906,"AAAAAH89v6Q=",0)</f>
        <v>0</v>
      </c>
      <c r="FJ32" t="e">
        <f>AND('Ark1'!A906,"AAAAAH89v6U=")</f>
        <v>#VALUE!</v>
      </c>
      <c r="FK32" t="e">
        <f>AND('Ark1'!B906,"AAAAAH89v6Y=")</f>
        <v>#VALUE!</v>
      </c>
      <c r="FL32" t="e">
        <f>AND('Ark1'!C906,"AAAAAH89v6c=")</f>
        <v>#VALUE!</v>
      </c>
      <c r="FM32" t="e">
        <f>AND('Ark1'!D906,"AAAAAH89v6g=")</f>
        <v>#VALUE!</v>
      </c>
      <c r="FN32" t="e">
        <f>AND('Ark1'!E906,"AAAAAH89v6k=")</f>
        <v>#VALUE!</v>
      </c>
      <c r="FO32" t="e">
        <f>AND('Ark1'!F906,"AAAAAH89v6o=")</f>
        <v>#VALUE!</v>
      </c>
      <c r="FP32" t="e">
        <f>AND('Ark1'!G906,"AAAAAH89v6s=")</f>
        <v>#VALUE!</v>
      </c>
      <c r="FQ32" t="e">
        <f>AND('Ark1'!H906,"AAAAAH89v6w=")</f>
        <v>#VALUE!</v>
      </c>
      <c r="FR32">
        <f>IF('Ark1'!907:907,"AAAAAH89v60=",0)</f>
        <v>0</v>
      </c>
      <c r="FS32" t="e">
        <f>AND('Ark1'!A907,"AAAAAH89v64=")</f>
        <v>#VALUE!</v>
      </c>
      <c r="FT32" t="e">
        <f>AND('Ark1'!B907,"AAAAAH89v68=")</f>
        <v>#VALUE!</v>
      </c>
      <c r="FU32" t="e">
        <f>AND('Ark1'!C907,"AAAAAH89v7A=")</f>
        <v>#VALUE!</v>
      </c>
      <c r="FV32" t="e">
        <f>AND('Ark1'!D907,"AAAAAH89v7E=")</f>
        <v>#VALUE!</v>
      </c>
      <c r="FW32" t="e">
        <f>AND('Ark1'!E907,"AAAAAH89v7I=")</f>
        <v>#VALUE!</v>
      </c>
      <c r="FX32" t="e">
        <f>AND('Ark1'!F907,"AAAAAH89v7M=")</f>
        <v>#VALUE!</v>
      </c>
      <c r="FY32" t="e">
        <f>AND('Ark1'!G907,"AAAAAH89v7Q=")</f>
        <v>#VALUE!</v>
      </c>
      <c r="FZ32" t="e">
        <f>AND('Ark1'!H907,"AAAAAH89v7U=")</f>
        <v>#VALUE!</v>
      </c>
      <c r="GA32">
        <f>IF('Ark1'!908:908,"AAAAAH89v7Y=",0)</f>
        <v>0</v>
      </c>
      <c r="GB32" t="e">
        <f>AND('Ark1'!A908,"AAAAAH89v7c=")</f>
        <v>#VALUE!</v>
      </c>
      <c r="GC32" t="e">
        <f>AND('Ark1'!B908,"AAAAAH89v7g=")</f>
        <v>#VALUE!</v>
      </c>
      <c r="GD32" t="e">
        <f>AND('Ark1'!C908,"AAAAAH89v7k=")</f>
        <v>#VALUE!</v>
      </c>
      <c r="GE32" t="e">
        <f>AND('Ark1'!D908,"AAAAAH89v7o=")</f>
        <v>#VALUE!</v>
      </c>
      <c r="GF32" t="e">
        <f>AND('Ark1'!E908,"AAAAAH89v7s=")</f>
        <v>#VALUE!</v>
      </c>
      <c r="GG32" t="e">
        <f>AND('Ark1'!F908,"AAAAAH89v7w=")</f>
        <v>#VALUE!</v>
      </c>
      <c r="GH32" t="e">
        <f>AND('Ark1'!G908,"AAAAAH89v70=")</f>
        <v>#VALUE!</v>
      </c>
      <c r="GI32" t="e">
        <f>AND('Ark1'!H908,"AAAAAH89v74=")</f>
        <v>#VALUE!</v>
      </c>
      <c r="GJ32">
        <f>IF('Ark1'!909:909,"AAAAAH89v78=",0)</f>
        <v>0</v>
      </c>
      <c r="GK32" t="e">
        <f>AND('Ark1'!A909,"AAAAAH89v8A=")</f>
        <v>#VALUE!</v>
      </c>
      <c r="GL32" t="e">
        <f>AND('Ark1'!B909,"AAAAAH89v8E=")</f>
        <v>#VALUE!</v>
      </c>
      <c r="GM32" t="e">
        <f>AND('Ark1'!C909,"AAAAAH89v8I=")</f>
        <v>#VALUE!</v>
      </c>
      <c r="GN32" t="e">
        <f>AND('Ark1'!D909,"AAAAAH89v8M=")</f>
        <v>#VALUE!</v>
      </c>
      <c r="GO32" t="e">
        <f>AND('Ark1'!E909,"AAAAAH89v8Q=")</f>
        <v>#VALUE!</v>
      </c>
      <c r="GP32" t="e">
        <f>AND('Ark1'!F909,"AAAAAH89v8U=")</f>
        <v>#VALUE!</v>
      </c>
      <c r="GQ32" t="e">
        <f>AND('Ark1'!G909,"AAAAAH89v8Y=")</f>
        <v>#VALUE!</v>
      </c>
      <c r="GR32" t="e">
        <f>AND('Ark1'!H909,"AAAAAH89v8c=")</f>
        <v>#VALUE!</v>
      </c>
      <c r="GS32">
        <f>IF('Ark1'!910:910,"AAAAAH89v8g=",0)</f>
        <v>0</v>
      </c>
      <c r="GT32" t="e">
        <f>AND('Ark1'!A910,"AAAAAH89v8k=")</f>
        <v>#VALUE!</v>
      </c>
      <c r="GU32" t="e">
        <f>AND('Ark1'!B910,"AAAAAH89v8o=")</f>
        <v>#VALUE!</v>
      </c>
      <c r="GV32" t="e">
        <f>AND('Ark1'!C910,"AAAAAH89v8s=")</f>
        <v>#VALUE!</v>
      </c>
      <c r="GW32" t="e">
        <f>AND('Ark1'!D910,"AAAAAH89v8w=")</f>
        <v>#VALUE!</v>
      </c>
      <c r="GX32" t="e">
        <f>AND('Ark1'!E910,"AAAAAH89v80=")</f>
        <v>#VALUE!</v>
      </c>
      <c r="GY32" t="e">
        <f>AND('Ark1'!F910,"AAAAAH89v84=")</f>
        <v>#VALUE!</v>
      </c>
      <c r="GZ32" t="e">
        <f>AND('Ark1'!G910,"AAAAAH89v88=")</f>
        <v>#VALUE!</v>
      </c>
      <c r="HA32" t="e">
        <f>AND('Ark1'!H910,"AAAAAH89v9A=")</f>
        <v>#VALUE!</v>
      </c>
      <c r="HB32">
        <f>IF('Ark1'!911:911,"AAAAAH89v9E=",0)</f>
        <v>0</v>
      </c>
      <c r="HC32" t="e">
        <f>AND('Ark1'!A911,"AAAAAH89v9I=")</f>
        <v>#VALUE!</v>
      </c>
      <c r="HD32" t="e">
        <f>AND('Ark1'!B911,"AAAAAH89v9M=")</f>
        <v>#VALUE!</v>
      </c>
      <c r="HE32" t="e">
        <f>AND('Ark1'!C911,"AAAAAH89v9Q=")</f>
        <v>#VALUE!</v>
      </c>
      <c r="HF32" t="e">
        <f>AND('Ark1'!D911,"AAAAAH89v9U=")</f>
        <v>#VALUE!</v>
      </c>
      <c r="HG32" t="e">
        <f>AND('Ark1'!E911,"AAAAAH89v9Y=")</f>
        <v>#VALUE!</v>
      </c>
      <c r="HH32" t="e">
        <f>AND('Ark1'!F911,"AAAAAH89v9c=")</f>
        <v>#VALUE!</v>
      </c>
      <c r="HI32" t="e">
        <f>AND('Ark1'!G911,"AAAAAH89v9g=")</f>
        <v>#VALUE!</v>
      </c>
      <c r="HJ32" t="e">
        <f>AND('Ark1'!H911,"AAAAAH89v9k=")</f>
        <v>#VALUE!</v>
      </c>
      <c r="HK32">
        <f>IF('Ark1'!912:912,"AAAAAH89v9o=",0)</f>
        <v>0</v>
      </c>
      <c r="HL32" t="e">
        <f>AND('Ark1'!A912,"AAAAAH89v9s=")</f>
        <v>#VALUE!</v>
      </c>
      <c r="HM32" t="e">
        <f>AND('Ark1'!B912,"AAAAAH89v9w=")</f>
        <v>#VALUE!</v>
      </c>
      <c r="HN32" t="e">
        <f>AND('Ark1'!C912,"AAAAAH89v90=")</f>
        <v>#VALUE!</v>
      </c>
      <c r="HO32" t="e">
        <f>AND('Ark1'!D912,"AAAAAH89v94=")</f>
        <v>#VALUE!</v>
      </c>
      <c r="HP32" t="e">
        <f>AND('Ark1'!E912,"AAAAAH89v98=")</f>
        <v>#VALUE!</v>
      </c>
      <c r="HQ32" t="e">
        <f>AND('Ark1'!F912,"AAAAAH89v+A=")</f>
        <v>#VALUE!</v>
      </c>
      <c r="HR32" t="e">
        <f>AND('Ark1'!G912,"AAAAAH89v+E=")</f>
        <v>#VALUE!</v>
      </c>
      <c r="HS32" t="e">
        <f>AND('Ark1'!H912,"AAAAAH89v+I=")</f>
        <v>#VALUE!</v>
      </c>
      <c r="HT32">
        <f>IF('Ark1'!913:913,"AAAAAH89v+M=",0)</f>
        <v>0</v>
      </c>
      <c r="HU32" t="e">
        <f>AND('Ark1'!A913,"AAAAAH89v+Q=")</f>
        <v>#VALUE!</v>
      </c>
      <c r="HV32" t="e">
        <f>AND('Ark1'!B913,"AAAAAH89v+U=")</f>
        <v>#VALUE!</v>
      </c>
      <c r="HW32" t="e">
        <f>AND('Ark1'!C913,"AAAAAH89v+Y=")</f>
        <v>#VALUE!</v>
      </c>
      <c r="HX32" t="e">
        <f>AND('Ark1'!D913,"AAAAAH89v+c=")</f>
        <v>#VALUE!</v>
      </c>
      <c r="HY32" t="e">
        <f>AND('Ark1'!E913,"AAAAAH89v+g=")</f>
        <v>#VALUE!</v>
      </c>
      <c r="HZ32" t="e">
        <f>AND('Ark1'!F913,"AAAAAH89v+k=")</f>
        <v>#VALUE!</v>
      </c>
      <c r="IA32" t="e">
        <f>AND('Ark1'!G913,"AAAAAH89v+o=")</f>
        <v>#VALUE!</v>
      </c>
      <c r="IB32" t="e">
        <f>AND('Ark1'!H913,"AAAAAH89v+s=")</f>
        <v>#VALUE!</v>
      </c>
      <c r="IC32">
        <f>IF('Ark1'!914:914,"AAAAAH89v+w=",0)</f>
        <v>0</v>
      </c>
      <c r="ID32" t="e">
        <f>AND('Ark1'!A914,"AAAAAH89v+0=")</f>
        <v>#VALUE!</v>
      </c>
      <c r="IE32" t="e">
        <f>AND('Ark1'!B914,"AAAAAH89v+4=")</f>
        <v>#VALUE!</v>
      </c>
      <c r="IF32" t="e">
        <f>AND('Ark1'!C914,"AAAAAH89v+8=")</f>
        <v>#VALUE!</v>
      </c>
      <c r="IG32" t="e">
        <f>AND('Ark1'!D914,"AAAAAH89v/A=")</f>
        <v>#VALUE!</v>
      </c>
      <c r="IH32" t="e">
        <f>AND('Ark1'!E914,"AAAAAH89v/E=")</f>
        <v>#VALUE!</v>
      </c>
      <c r="II32" t="e">
        <f>AND('Ark1'!F914,"AAAAAH89v/I=")</f>
        <v>#VALUE!</v>
      </c>
      <c r="IJ32" t="e">
        <f>AND('Ark1'!G914,"AAAAAH89v/M=")</f>
        <v>#VALUE!</v>
      </c>
      <c r="IK32" t="e">
        <f>AND('Ark1'!H914,"AAAAAH89v/Q=")</f>
        <v>#VALUE!</v>
      </c>
      <c r="IL32">
        <f>IF('Ark1'!915:915,"AAAAAH89v/U=",0)</f>
        <v>0</v>
      </c>
      <c r="IM32" t="e">
        <f>AND('Ark1'!A915,"AAAAAH89v/Y=")</f>
        <v>#VALUE!</v>
      </c>
      <c r="IN32" t="e">
        <f>AND('Ark1'!B915,"AAAAAH89v/c=")</f>
        <v>#VALUE!</v>
      </c>
      <c r="IO32" t="e">
        <f>AND('Ark1'!C915,"AAAAAH89v/g=")</f>
        <v>#VALUE!</v>
      </c>
      <c r="IP32" t="e">
        <f>AND('Ark1'!D915,"AAAAAH89v/k=")</f>
        <v>#VALUE!</v>
      </c>
      <c r="IQ32" t="e">
        <f>AND('Ark1'!E915,"AAAAAH89v/o=")</f>
        <v>#VALUE!</v>
      </c>
      <c r="IR32" t="e">
        <f>AND('Ark1'!F915,"AAAAAH89v/s=")</f>
        <v>#VALUE!</v>
      </c>
      <c r="IS32" t="e">
        <f>AND('Ark1'!G915,"AAAAAH89v/w=")</f>
        <v>#VALUE!</v>
      </c>
      <c r="IT32" t="e">
        <f>AND('Ark1'!H915,"AAAAAH89v/0=")</f>
        <v>#VALUE!</v>
      </c>
      <c r="IU32">
        <f>IF('Ark1'!916:916,"AAAAAH89v/4=",0)</f>
        <v>0</v>
      </c>
      <c r="IV32" t="e">
        <f>AND('Ark1'!A916,"AAAAAH89v/8=")</f>
        <v>#VALUE!</v>
      </c>
    </row>
    <row r="33" spans="1:256" x14ac:dyDescent="0.25">
      <c r="A33" t="e">
        <f>AND('Ark1'!B916,"AAAAAGXWrwA=")</f>
        <v>#VALUE!</v>
      </c>
      <c r="B33" t="e">
        <f>AND('Ark1'!C916,"AAAAAGXWrwE=")</f>
        <v>#VALUE!</v>
      </c>
      <c r="C33" t="e">
        <f>AND('Ark1'!D916,"AAAAAGXWrwI=")</f>
        <v>#VALUE!</v>
      </c>
      <c r="D33" t="e">
        <f>AND('Ark1'!E916,"AAAAAGXWrwM=")</f>
        <v>#VALUE!</v>
      </c>
      <c r="E33" t="e">
        <f>AND('Ark1'!F916,"AAAAAGXWrwQ=")</f>
        <v>#VALUE!</v>
      </c>
      <c r="F33" t="e">
        <f>AND('Ark1'!G916,"AAAAAGXWrwU=")</f>
        <v>#VALUE!</v>
      </c>
      <c r="G33" t="e">
        <f>AND('Ark1'!H916,"AAAAAGXWrwY=")</f>
        <v>#VALUE!</v>
      </c>
      <c r="H33">
        <f>IF('Ark1'!917:917,"AAAAAGXWrwc=",0)</f>
        <v>0</v>
      </c>
      <c r="I33" t="e">
        <f>AND('Ark1'!A917,"AAAAAGXWrwg=")</f>
        <v>#VALUE!</v>
      </c>
      <c r="J33" t="e">
        <f>AND('Ark1'!B917,"AAAAAGXWrwk=")</f>
        <v>#VALUE!</v>
      </c>
      <c r="K33" t="e">
        <f>AND('Ark1'!C917,"AAAAAGXWrwo=")</f>
        <v>#VALUE!</v>
      </c>
      <c r="L33" t="e">
        <f>AND('Ark1'!D917,"AAAAAGXWrws=")</f>
        <v>#VALUE!</v>
      </c>
      <c r="M33" t="e">
        <f>AND('Ark1'!E917,"AAAAAGXWrww=")</f>
        <v>#VALUE!</v>
      </c>
      <c r="N33" t="e">
        <f>AND('Ark1'!F917,"AAAAAGXWrw0=")</f>
        <v>#VALUE!</v>
      </c>
      <c r="O33" t="e">
        <f>AND('Ark1'!G917,"AAAAAGXWrw4=")</f>
        <v>#VALUE!</v>
      </c>
      <c r="P33" t="e">
        <f>AND('Ark1'!H917,"AAAAAGXWrw8=")</f>
        <v>#VALUE!</v>
      </c>
      <c r="Q33">
        <f>IF('Ark1'!918:918,"AAAAAGXWrxA=",0)</f>
        <v>0</v>
      </c>
      <c r="R33" t="e">
        <f>AND('Ark1'!A918,"AAAAAGXWrxE=")</f>
        <v>#VALUE!</v>
      </c>
      <c r="S33" t="e">
        <f>AND('Ark1'!B918,"AAAAAGXWrxI=")</f>
        <v>#VALUE!</v>
      </c>
      <c r="T33" t="e">
        <f>AND('Ark1'!C918,"AAAAAGXWrxM=")</f>
        <v>#VALUE!</v>
      </c>
      <c r="U33" t="e">
        <f>AND('Ark1'!D918,"AAAAAGXWrxQ=")</f>
        <v>#VALUE!</v>
      </c>
      <c r="V33" t="e">
        <f>AND('Ark1'!E918,"AAAAAGXWrxU=")</f>
        <v>#VALUE!</v>
      </c>
      <c r="W33" t="e">
        <f>AND('Ark1'!F918,"AAAAAGXWrxY=")</f>
        <v>#VALUE!</v>
      </c>
      <c r="X33" t="e">
        <f>AND('Ark1'!G918,"AAAAAGXWrxc=")</f>
        <v>#VALUE!</v>
      </c>
      <c r="Y33" t="e">
        <f>AND('Ark1'!H918,"AAAAAGXWrxg=")</f>
        <v>#VALUE!</v>
      </c>
      <c r="Z33">
        <f>IF('Ark1'!919:919,"AAAAAGXWrxk=",0)</f>
        <v>0</v>
      </c>
      <c r="AA33" t="e">
        <f>AND('Ark1'!A919,"AAAAAGXWrxo=")</f>
        <v>#VALUE!</v>
      </c>
      <c r="AB33" t="e">
        <f>AND('Ark1'!B919,"AAAAAGXWrxs=")</f>
        <v>#VALUE!</v>
      </c>
      <c r="AC33" t="e">
        <f>AND('Ark1'!C919,"AAAAAGXWrxw=")</f>
        <v>#VALUE!</v>
      </c>
      <c r="AD33" t="e">
        <f>AND('Ark1'!D919,"AAAAAGXWrx0=")</f>
        <v>#VALUE!</v>
      </c>
      <c r="AE33" t="e">
        <f>AND('Ark1'!E919,"AAAAAGXWrx4=")</f>
        <v>#VALUE!</v>
      </c>
      <c r="AF33" t="e">
        <f>AND('Ark1'!F919,"AAAAAGXWrx8=")</f>
        <v>#VALUE!</v>
      </c>
      <c r="AG33" t="e">
        <f>AND('Ark1'!G919,"AAAAAGXWryA=")</f>
        <v>#VALUE!</v>
      </c>
      <c r="AH33" t="e">
        <f>AND('Ark1'!H919,"AAAAAGXWryE=")</f>
        <v>#VALUE!</v>
      </c>
      <c r="AI33">
        <f>IF('Ark1'!920:920,"AAAAAGXWryI=",0)</f>
        <v>0</v>
      </c>
      <c r="AJ33" t="e">
        <f>AND('Ark1'!A920,"AAAAAGXWryM=")</f>
        <v>#VALUE!</v>
      </c>
      <c r="AK33" t="e">
        <f>AND('Ark1'!B920,"AAAAAGXWryQ=")</f>
        <v>#VALUE!</v>
      </c>
      <c r="AL33" t="e">
        <f>AND('Ark1'!C920,"AAAAAGXWryU=")</f>
        <v>#VALUE!</v>
      </c>
      <c r="AM33" t="e">
        <f>AND('Ark1'!D920,"AAAAAGXWryY=")</f>
        <v>#VALUE!</v>
      </c>
      <c r="AN33" t="e">
        <f>AND('Ark1'!E920,"AAAAAGXWryc=")</f>
        <v>#VALUE!</v>
      </c>
      <c r="AO33" t="e">
        <f>AND('Ark1'!F920,"AAAAAGXWryg=")</f>
        <v>#VALUE!</v>
      </c>
      <c r="AP33" t="e">
        <f>AND('Ark1'!G920,"AAAAAGXWryk=")</f>
        <v>#VALUE!</v>
      </c>
      <c r="AQ33" t="e">
        <f>AND('Ark1'!H920,"AAAAAGXWryo=")</f>
        <v>#VALUE!</v>
      </c>
      <c r="AR33">
        <f>IF('Ark1'!921:921,"AAAAAGXWrys=",0)</f>
        <v>0</v>
      </c>
      <c r="AS33" t="e">
        <f>AND('Ark1'!A921,"AAAAAGXWryw=")</f>
        <v>#VALUE!</v>
      </c>
      <c r="AT33" t="e">
        <f>AND('Ark1'!B921,"AAAAAGXWry0=")</f>
        <v>#VALUE!</v>
      </c>
      <c r="AU33" t="e">
        <f>AND('Ark1'!C921,"AAAAAGXWry4=")</f>
        <v>#VALUE!</v>
      </c>
      <c r="AV33" t="e">
        <f>AND('Ark1'!D921,"AAAAAGXWry8=")</f>
        <v>#VALUE!</v>
      </c>
      <c r="AW33" t="e">
        <f>AND('Ark1'!E921,"AAAAAGXWrzA=")</f>
        <v>#VALUE!</v>
      </c>
      <c r="AX33" t="e">
        <f>AND('Ark1'!F921,"AAAAAGXWrzE=")</f>
        <v>#VALUE!</v>
      </c>
      <c r="AY33" t="e">
        <f>AND('Ark1'!G921,"AAAAAGXWrzI=")</f>
        <v>#VALUE!</v>
      </c>
      <c r="AZ33" t="e">
        <f>AND('Ark1'!H921,"AAAAAGXWrzM=")</f>
        <v>#VALUE!</v>
      </c>
      <c r="BA33">
        <f>IF('Ark1'!922:922,"AAAAAGXWrzQ=",0)</f>
        <v>0</v>
      </c>
      <c r="BB33" t="e">
        <f>AND('Ark1'!A922,"AAAAAGXWrzU=")</f>
        <v>#VALUE!</v>
      </c>
      <c r="BC33" t="e">
        <f>AND('Ark1'!B922,"AAAAAGXWrzY=")</f>
        <v>#VALUE!</v>
      </c>
      <c r="BD33" t="e">
        <f>AND('Ark1'!C922,"AAAAAGXWrzc=")</f>
        <v>#VALUE!</v>
      </c>
      <c r="BE33" t="e">
        <f>AND('Ark1'!D922,"AAAAAGXWrzg=")</f>
        <v>#VALUE!</v>
      </c>
      <c r="BF33" t="e">
        <f>AND('Ark1'!E922,"AAAAAGXWrzk=")</f>
        <v>#VALUE!</v>
      </c>
      <c r="BG33" t="e">
        <f>AND('Ark1'!F922,"AAAAAGXWrzo=")</f>
        <v>#VALUE!</v>
      </c>
      <c r="BH33" t="e">
        <f>AND('Ark1'!G922,"AAAAAGXWrzs=")</f>
        <v>#VALUE!</v>
      </c>
      <c r="BI33" t="e">
        <f>AND('Ark1'!H922,"AAAAAGXWrzw=")</f>
        <v>#VALUE!</v>
      </c>
      <c r="BJ33">
        <f>IF('Ark1'!923:923,"AAAAAGXWrz0=",0)</f>
        <v>0</v>
      </c>
      <c r="BK33" t="e">
        <f>AND('Ark1'!A923,"AAAAAGXWrz4=")</f>
        <v>#VALUE!</v>
      </c>
      <c r="BL33" t="e">
        <f>AND('Ark1'!B923,"AAAAAGXWrz8=")</f>
        <v>#VALUE!</v>
      </c>
      <c r="BM33" t="e">
        <f>AND('Ark1'!C923,"AAAAAGXWr0A=")</f>
        <v>#VALUE!</v>
      </c>
      <c r="BN33" t="e">
        <f>AND('Ark1'!D923,"AAAAAGXWr0E=")</f>
        <v>#VALUE!</v>
      </c>
      <c r="BO33" t="e">
        <f>AND('Ark1'!E923,"AAAAAGXWr0I=")</f>
        <v>#VALUE!</v>
      </c>
      <c r="BP33" t="e">
        <f>AND('Ark1'!F923,"AAAAAGXWr0M=")</f>
        <v>#VALUE!</v>
      </c>
      <c r="BQ33" t="e">
        <f>AND('Ark1'!G923,"AAAAAGXWr0Q=")</f>
        <v>#VALUE!</v>
      </c>
      <c r="BR33" t="e">
        <f>AND('Ark1'!H923,"AAAAAGXWr0U=")</f>
        <v>#VALUE!</v>
      </c>
      <c r="BS33">
        <f>IF('Ark1'!924:924,"AAAAAGXWr0Y=",0)</f>
        <v>0</v>
      </c>
      <c r="BT33" t="e">
        <f>AND('Ark1'!A924,"AAAAAGXWr0c=")</f>
        <v>#VALUE!</v>
      </c>
      <c r="BU33" t="e">
        <f>AND('Ark1'!B924,"AAAAAGXWr0g=")</f>
        <v>#VALUE!</v>
      </c>
      <c r="BV33" t="e">
        <f>AND('Ark1'!C924,"AAAAAGXWr0k=")</f>
        <v>#VALUE!</v>
      </c>
      <c r="BW33" t="e">
        <f>AND('Ark1'!D924,"AAAAAGXWr0o=")</f>
        <v>#VALUE!</v>
      </c>
      <c r="BX33" t="e">
        <f>AND('Ark1'!E924,"AAAAAGXWr0s=")</f>
        <v>#VALUE!</v>
      </c>
      <c r="BY33" t="e">
        <f>AND('Ark1'!F924,"AAAAAGXWr0w=")</f>
        <v>#VALUE!</v>
      </c>
      <c r="BZ33" t="e">
        <f>AND('Ark1'!G924,"AAAAAGXWr00=")</f>
        <v>#VALUE!</v>
      </c>
      <c r="CA33" t="e">
        <f>AND('Ark1'!H924,"AAAAAGXWr04=")</f>
        <v>#VALUE!</v>
      </c>
      <c r="CB33">
        <f>IF('Ark1'!925:925,"AAAAAGXWr08=",0)</f>
        <v>0</v>
      </c>
      <c r="CC33" t="e">
        <f>AND('Ark1'!A925,"AAAAAGXWr1A=")</f>
        <v>#VALUE!</v>
      </c>
      <c r="CD33" t="e">
        <f>AND('Ark1'!B925,"AAAAAGXWr1E=")</f>
        <v>#VALUE!</v>
      </c>
      <c r="CE33" t="e">
        <f>AND('Ark1'!C925,"AAAAAGXWr1I=")</f>
        <v>#VALUE!</v>
      </c>
      <c r="CF33" t="e">
        <f>AND('Ark1'!D925,"AAAAAGXWr1M=")</f>
        <v>#VALUE!</v>
      </c>
      <c r="CG33" t="e">
        <f>AND('Ark1'!E925,"AAAAAGXWr1Q=")</f>
        <v>#VALUE!</v>
      </c>
      <c r="CH33" t="e">
        <f>AND('Ark1'!F925,"AAAAAGXWr1U=")</f>
        <v>#VALUE!</v>
      </c>
      <c r="CI33" t="e">
        <f>AND('Ark1'!G925,"AAAAAGXWr1Y=")</f>
        <v>#VALUE!</v>
      </c>
      <c r="CJ33" t="e">
        <f>AND('Ark1'!H925,"AAAAAGXWr1c=")</f>
        <v>#VALUE!</v>
      </c>
      <c r="CK33">
        <f>IF('Ark1'!926:926,"AAAAAGXWr1g=",0)</f>
        <v>0</v>
      </c>
      <c r="CL33" t="e">
        <f>AND('Ark1'!A926,"AAAAAGXWr1k=")</f>
        <v>#VALUE!</v>
      </c>
      <c r="CM33" t="e">
        <f>AND('Ark1'!B926,"AAAAAGXWr1o=")</f>
        <v>#VALUE!</v>
      </c>
      <c r="CN33" t="e">
        <f>AND('Ark1'!C926,"AAAAAGXWr1s=")</f>
        <v>#VALUE!</v>
      </c>
      <c r="CO33" t="e">
        <f>AND('Ark1'!D926,"AAAAAGXWr1w=")</f>
        <v>#VALUE!</v>
      </c>
      <c r="CP33" t="e">
        <f>AND('Ark1'!E926,"AAAAAGXWr10=")</f>
        <v>#VALUE!</v>
      </c>
      <c r="CQ33" t="e">
        <f>AND('Ark1'!F926,"AAAAAGXWr14=")</f>
        <v>#VALUE!</v>
      </c>
      <c r="CR33" t="e">
        <f>AND('Ark1'!G926,"AAAAAGXWr18=")</f>
        <v>#VALUE!</v>
      </c>
      <c r="CS33" t="e">
        <f>AND('Ark1'!H926,"AAAAAGXWr2A=")</f>
        <v>#VALUE!</v>
      </c>
      <c r="CT33">
        <f>IF('Ark1'!927:927,"AAAAAGXWr2E=",0)</f>
        <v>0</v>
      </c>
      <c r="CU33" t="e">
        <f>AND('Ark1'!A927,"AAAAAGXWr2I=")</f>
        <v>#VALUE!</v>
      </c>
      <c r="CV33" t="e">
        <f>AND('Ark1'!B927,"AAAAAGXWr2M=")</f>
        <v>#VALUE!</v>
      </c>
      <c r="CW33" t="e">
        <f>AND('Ark1'!C927,"AAAAAGXWr2Q=")</f>
        <v>#VALUE!</v>
      </c>
      <c r="CX33" t="e">
        <f>AND('Ark1'!D927,"AAAAAGXWr2U=")</f>
        <v>#VALUE!</v>
      </c>
      <c r="CY33" t="e">
        <f>AND('Ark1'!E927,"AAAAAGXWr2Y=")</f>
        <v>#VALUE!</v>
      </c>
      <c r="CZ33" t="e">
        <f>AND('Ark1'!F927,"AAAAAGXWr2c=")</f>
        <v>#VALUE!</v>
      </c>
      <c r="DA33" t="e">
        <f>AND('Ark1'!G927,"AAAAAGXWr2g=")</f>
        <v>#VALUE!</v>
      </c>
      <c r="DB33" t="e">
        <f>AND('Ark1'!H927,"AAAAAGXWr2k=")</f>
        <v>#VALUE!</v>
      </c>
      <c r="DC33">
        <f>IF('Ark1'!928:928,"AAAAAGXWr2o=",0)</f>
        <v>0</v>
      </c>
      <c r="DD33" t="e">
        <f>AND('Ark1'!A928,"AAAAAGXWr2s=")</f>
        <v>#VALUE!</v>
      </c>
      <c r="DE33" t="e">
        <f>AND('Ark1'!B928,"AAAAAGXWr2w=")</f>
        <v>#VALUE!</v>
      </c>
      <c r="DF33" t="e">
        <f>AND('Ark1'!C928,"AAAAAGXWr20=")</f>
        <v>#VALUE!</v>
      </c>
      <c r="DG33" t="e">
        <f>AND('Ark1'!D928,"AAAAAGXWr24=")</f>
        <v>#VALUE!</v>
      </c>
      <c r="DH33" t="e">
        <f>AND('Ark1'!E928,"AAAAAGXWr28=")</f>
        <v>#VALUE!</v>
      </c>
      <c r="DI33" t="e">
        <f>AND('Ark1'!F928,"AAAAAGXWr3A=")</f>
        <v>#VALUE!</v>
      </c>
      <c r="DJ33" t="e">
        <f>AND('Ark1'!G928,"AAAAAGXWr3E=")</f>
        <v>#VALUE!</v>
      </c>
      <c r="DK33" t="e">
        <f>AND('Ark1'!H928,"AAAAAGXWr3I=")</f>
        <v>#VALUE!</v>
      </c>
      <c r="DL33">
        <f>IF('Ark1'!929:929,"AAAAAGXWr3M=",0)</f>
        <v>0</v>
      </c>
      <c r="DM33" t="e">
        <f>AND('Ark1'!A929,"AAAAAGXWr3Q=")</f>
        <v>#VALUE!</v>
      </c>
      <c r="DN33" t="e">
        <f>AND('Ark1'!B929,"AAAAAGXWr3U=")</f>
        <v>#VALUE!</v>
      </c>
      <c r="DO33" t="e">
        <f>AND('Ark1'!C929,"AAAAAGXWr3Y=")</f>
        <v>#VALUE!</v>
      </c>
      <c r="DP33" t="e">
        <f>AND('Ark1'!D929,"AAAAAGXWr3c=")</f>
        <v>#VALUE!</v>
      </c>
      <c r="DQ33" t="e">
        <f>AND('Ark1'!E929,"AAAAAGXWr3g=")</f>
        <v>#VALUE!</v>
      </c>
      <c r="DR33" t="e">
        <f>AND('Ark1'!F929,"AAAAAGXWr3k=")</f>
        <v>#VALUE!</v>
      </c>
      <c r="DS33" t="e">
        <f>AND('Ark1'!G929,"AAAAAGXWr3o=")</f>
        <v>#VALUE!</v>
      </c>
      <c r="DT33" t="e">
        <f>AND('Ark1'!H929,"AAAAAGXWr3s=")</f>
        <v>#VALUE!</v>
      </c>
      <c r="DU33">
        <f>IF('Ark1'!930:930,"AAAAAGXWr3w=",0)</f>
        <v>0</v>
      </c>
      <c r="DV33" t="e">
        <f>AND('Ark1'!A930,"AAAAAGXWr30=")</f>
        <v>#VALUE!</v>
      </c>
      <c r="DW33" t="e">
        <f>AND('Ark1'!B930,"AAAAAGXWr34=")</f>
        <v>#VALUE!</v>
      </c>
      <c r="DX33" t="e">
        <f>AND('Ark1'!C930,"AAAAAGXWr38=")</f>
        <v>#VALUE!</v>
      </c>
      <c r="DY33" t="e">
        <f>AND('Ark1'!D930,"AAAAAGXWr4A=")</f>
        <v>#VALUE!</v>
      </c>
      <c r="DZ33" t="e">
        <f>AND('Ark1'!E930,"AAAAAGXWr4E=")</f>
        <v>#VALUE!</v>
      </c>
      <c r="EA33" t="e">
        <f>AND('Ark1'!F930,"AAAAAGXWr4I=")</f>
        <v>#VALUE!</v>
      </c>
      <c r="EB33" t="e">
        <f>AND('Ark1'!G930,"AAAAAGXWr4M=")</f>
        <v>#VALUE!</v>
      </c>
      <c r="EC33" t="e">
        <f>AND('Ark1'!H930,"AAAAAGXWr4Q=")</f>
        <v>#VALUE!</v>
      </c>
      <c r="ED33">
        <f>IF('Ark1'!932:932,"AAAAAGXWr4U=",0)</f>
        <v>0</v>
      </c>
      <c r="EE33" t="e">
        <f>AND('Ark1'!A932,"AAAAAGXWr4Y=")</f>
        <v>#VALUE!</v>
      </c>
      <c r="EF33" t="e">
        <f>AND('Ark1'!B932,"AAAAAGXWr4c=")</f>
        <v>#VALUE!</v>
      </c>
      <c r="EG33" t="e">
        <f>AND('Ark1'!C932,"AAAAAGXWr4g=")</f>
        <v>#VALUE!</v>
      </c>
      <c r="EH33" t="e">
        <f>AND('Ark1'!D932,"AAAAAGXWr4k=")</f>
        <v>#VALUE!</v>
      </c>
      <c r="EI33" t="e">
        <f>AND('Ark1'!E932,"AAAAAGXWr4o=")</f>
        <v>#VALUE!</v>
      </c>
      <c r="EJ33" t="e">
        <f>AND('Ark1'!F932,"AAAAAGXWr4s=")</f>
        <v>#VALUE!</v>
      </c>
      <c r="EK33" t="e">
        <f>AND('Ark1'!G932,"AAAAAGXWr4w=")</f>
        <v>#VALUE!</v>
      </c>
      <c r="EL33" t="e">
        <f>AND('Ark1'!H932,"AAAAAGXWr40=")</f>
        <v>#VALUE!</v>
      </c>
      <c r="EM33">
        <f>IF('Ark1'!933:933,"AAAAAGXWr44=",0)</f>
        <v>0</v>
      </c>
      <c r="EN33" t="e">
        <f>AND('Ark1'!A933,"AAAAAGXWr48=")</f>
        <v>#VALUE!</v>
      </c>
      <c r="EO33" t="e">
        <f>AND('Ark1'!B933,"AAAAAGXWr5A=")</f>
        <v>#VALUE!</v>
      </c>
      <c r="EP33" t="e">
        <f>AND('Ark1'!C933,"AAAAAGXWr5E=")</f>
        <v>#VALUE!</v>
      </c>
      <c r="EQ33" t="e">
        <f>AND('Ark1'!D933,"AAAAAGXWr5I=")</f>
        <v>#VALUE!</v>
      </c>
      <c r="ER33" t="e">
        <f>AND('Ark1'!E933,"AAAAAGXWr5M=")</f>
        <v>#VALUE!</v>
      </c>
      <c r="ES33" t="e">
        <f>AND('Ark1'!F933,"AAAAAGXWr5Q=")</f>
        <v>#VALUE!</v>
      </c>
      <c r="ET33" t="e">
        <f>AND('Ark1'!G933,"AAAAAGXWr5U=")</f>
        <v>#VALUE!</v>
      </c>
      <c r="EU33" t="e">
        <f>AND('Ark1'!H933,"AAAAAGXWr5Y=")</f>
        <v>#VALUE!</v>
      </c>
      <c r="EV33">
        <f>IF('Ark1'!934:934,"AAAAAGXWr5c=",0)</f>
        <v>0</v>
      </c>
      <c r="EW33" t="e">
        <f>AND('Ark1'!A934,"AAAAAGXWr5g=")</f>
        <v>#VALUE!</v>
      </c>
      <c r="EX33" t="e">
        <f>AND('Ark1'!B934,"AAAAAGXWr5k=")</f>
        <v>#VALUE!</v>
      </c>
      <c r="EY33" t="e">
        <f>AND('Ark1'!C934,"AAAAAGXWr5o=")</f>
        <v>#VALUE!</v>
      </c>
      <c r="EZ33" t="e">
        <f>AND('Ark1'!D934,"AAAAAGXWr5s=")</f>
        <v>#VALUE!</v>
      </c>
      <c r="FA33" t="e">
        <f>AND('Ark1'!E934,"AAAAAGXWr5w=")</f>
        <v>#VALUE!</v>
      </c>
      <c r="FB33" t="e">
        <f>AND('Ark1'!F934,"AAAAAGXWr50=")</f>
        <v>#VALUE!</v>
      </c>
      <c r="FC33" t="e">
        <f>AND('Ark1'!G934,"AAAAAGXWr54=")</f>
        <v>#VALUE!</v>
      </c>
      <c r="FD33" t="e">
        <f>AND('Ark1'!H934,"AAAAAGXWr58=")</f>
        <v>#VALUE!</v>
      </c>
      <c r="FE33">
        <f>IF('Ark1'!935:935,"AAAAAGXWr6A=",0)</f>
        <v>0</v>
      </c>
      <c r="FF33" t="e">
        <f>AND('Ark1'!A935,"AAAAAGXWr6E=")</f>
        <v>#VALUE!</v>
      </c>
      <c r="FG33" t="e">
        <f>AND('Ark1'!B935,"AAAAAGXWr6I=")</f>
        <v>#VALUE!</v>
      </c>
      <c r="FH33" t="e">
        <f>AND('Ark1'!C935,"AAAAAGXWr6M=")</f>
        <v>#VALUE!</v>
      </c>
      <c r="FI33" t="e">
        <f>AND('Ark1'!D935,"AAAAAGXWr6Q=")</f>
        <v>#VALUE!</v>
      </c>
      <c r="FJ33" t="e">
        <f>AND('Ark1'!E935,"AAAAAGXWr6U=")</f>
        <v>#VALUE!</v>
      </c>
      <c r="FK33" t="e">
        <f>AND('Ark1'!F935,"AAAAAGXWr6Y=")</f>
        <v>#VALUE!</v>
      </c>
      <c r="FL33" t="e">
        <f>AND('Ark1'!G935,"AAAAAGXWr6c=")</f>
        <v>#VALUE!</v>
      </c>
      <c r="FM33" t="e">
        <f>AND('Ark1'!H935,"AAAAAGXWr6g=")</f>
        <v>#VALUE!</v>
      </c>
      <c r="FN33">
        <f>IF('Ark1'!936:936,"AAAAAGXWr6k=",0)</f>
        <v>0</v>
      </c>
      <c r="FO33" t="e">
        <f>AND('Ark1'!A936,"AAAAAGXWr6o=")</f>
        <v>#VALUE!</v>
      </c>
      <c r="FP33" t="e">
        <f>AND('Ark1'!B936,"AAAAAGXWr6s=")</f>
        <v>#VALUE!</v>
      </c>
      <c r="FQ33" t="e">
        <f>AND('Ark1'!C936,"AAAAAGXWr6w=")</f>
        <v>#VALUE!</v>
      </c>
      <c r="FR33" t="e">
        <f>AND('Ark1'!D936,"AAAAAGXWr60=")</f>
        <v>#VALUE!</v>
      </c>
      <c r="FS33" t="e">
        <f>AND('Ark1'!E936,"AAAAAGXWr64=")</f>
        <v>#VALUE!</v>
      </c>
      <c r="FT33" t="e">
        <f>AND('Ark1'!F936,"AAAAAGXWr68=")</f>
        <v>#VALUE!</v>
      </c>
      <c r="FU33" t="e">
        <f>AND('Ark1'!G936,"AAAAAGXWr7A=")</f>
        <v>#VALUE!</v>
      </c>
      <c r="FV33" t="e">
        <f>AND('Ark1'!H936,"AAAAAGXWr7E=")</f>
        <v>#VALUE!</v>
      </c>
      <c r="FW33">
        <f>IF('Ark1'!937:937,"AAAAAGXWr7I=",0)</f>
        <v>0</v>
      </c>
      <c r="FX33" t="e">
        <f>AND('Ark1'!A937,"AAAAAGXWr7M=")</f>
        <v>#VALUE!</v>
      </c>
      <c r="FY33" t="e">
        <f>AND('Ark1'!B937,"AAAAAGXWr7Q=")</f>
        <v>#VALUE!</v>
      </c>
      <c r="FZ33" t="e">
        <f>AND('Ark1'!C937,"AAAAAGXWr7U=")</f>
        <v>#VALUE!</v>
      </c>
      <c r="GA33" t="e">
        <f>AND('Ark1'!D937,"AAAAAGXWr7Y=")</f>
        <v>#VALUE!</v>
      </c>
      <c r="GB33" t="e">
        <f>AND('Ark1'!E937,"AAAAAGXWr7c=")</f>
        <v>#VALUE!</v>
      </c>
      <c r="GC33" t="e">
        <f>AND('Ark1'!F937,"AAAAAGXWr7g=")</f>
        <v>#VALUE!</v>
      </c>
      <c r="GD33" t="e">
        <f>AND('Ark1'!G937,"AAAAAGXWr7k=")</f>
        <v>#VALUE!</v>
      </c>
      <c r="GE33" t="e">
        <f>AND('Ark1'!H937,"AAAAAGXWr7o=")</f>
        <v>#VALUE!</v>
      </c>
      <c r="GF33">
        <f>IF('Ark1'!938:938,"AAAAAGXWr7s=",0)</f>
        <v>0</v>
      </c>
      <c r="GG33" t="e">
        <f>AND('Ark1'!A938,"AAAAAGXWr7w=")</f>
        <v>#VALUE!</v>
      </c>
      <c r="GH33" t="e">
        <f>AND('Ark1'!B938,"AAAAAGXWr70=")</f>
        <v>#VALUE!</v>
      </c>
      <c r="GI33" t="e">
        <f>AND('Ark1'!C938,"AAAAAGXWr74=")</f>
        <v>#VALUE!</v>
      </c>
      <c r="GJ33" t="e">
        <f>AND('Ark1'!D938,"AAAAAGXWr78=")</f>
        <v>#VALUE!</v>
      </c>
      <c r="GK33" t="e">
        <f>AND('Ark1'!E938,"AAAAAGXWr8A=")</f>
        <v>#VALUE!</v>
      </c>
      <c r="GL33" t="e">
        <f>AND('Ark1'!F938,"AAAAAGXWr8E=")</f>
        <v>#VALUE!</v>
      </c>
      <c r="GM33" t="e">
        <f>AND('Ark1'!G938,"AAAAAGXWr8I=")</f>
        <v>#VALUE!</v>
      </c>
      <c r="GN33" t="e">
        <f>AND('Ark1'!H938,"AAAAAGXWr8M=")</f>
        <v>#VALUE!</v>
      </c>
      <c r="GO33">
        <f>IF('Ark1'!939:939,"AAAAAGXWr8Q=",0)</f>
        <v>0</v>
      </c>
      <c r="GP33" t="e">
        <f>AND('Ark1'!A939,"AAAAAGXWr8U=")</f>
        <v>#VALUE!</v>
      </c>
      <c r="GQ33" t="e">
        <f>AND('Ark1'!B939,"AAAAAGXWr8Y=")</f>
        <v>#VALUE!</v>
      </c>
      <c r="GR33" t="e">
        <f>AND('Ark1'!C939,"AAAAAGXWr8c=")</f>
        <v>#VALUE!</v>
      </c>
      <c r="GS33" t="e">
        <f>AND('Ark1'!D939,"AAAAAGXWr8g=")</f>
        <v>#VALUE!</v>
      </c>
      <c r="GT33" t="e">
        <f>AND('Ark1'!E939,"AAAAAGXWr8k=")</f>
        <v>#VALUE!</v>
      </c>
      <c r="GU33" t="e">
        <f>AND('Ark1'!F939,"AAAAAGXWr8o=")</f>
        <v>#VALUE!</v>
      </c>
      <c r="GV33" t="e">
        <f>AND('Ark1'!G939,"AAAAAGXWr8s=")</f>
        <v>#VALUE!</v>
      </c>
      <c r="GW33" t="e">
        <f>AND('Ark1'!H939,"AAAAAGXWr8w=")</f>
        <v>#VALUE!</v>
      </c>
      <c r="GX33">
        <f>IF('Ark1'!940:940,"AAAAAGXWr80=",0)</f>
        <v>0</v>
      </c>
      <c r="GY33" t="e">
        <f>AND('Ark1'!A940,"AAAAAGXWr84=")</f>
        <v>#VALUE!</v>
      </c>
      <c r="GZ33" t="e">
        <f>AND('Ark1'!B940,"AAAAAGXWr88=")</f>
        <v>#VALUE!</v>
      </c>
      <c r="HA33" t="e">
        <f>AND('Ark1'!C940,"AAAAAGXWr9A=")</f>
        <v>#VALUE!</v>
      </c>
      <c r="HB33" t="e">
        <f>AND('Ark1'!D940,"AAAAAGXWr9E=")</f>
        <v>#VALUE!</v>
      </c>
      <c r="HC33" t="e">
        <f>AND('Ark1'!E940,"AAAAAGXWr9I=")</f>
        <v>#VALUE!</v>
      </c>
      <c r="HD33" t="e">
        <f>AND('Ark1'!F940,"AAAAAGXWr9M=")</f>
        <v>#VALUE!</v>
      </c>
      <c r="HE33" t="e">
        <f>AND('Ark1'!G940,"AAAAAGXWr9Q=")</f>
        <v>#VALUE!</v>
      </c>
      <c r="HF33" t="e">
        <f>AND('Ark1'!H940,"AAAAAGXWr9U=")</f>
        <v>#VALUE!</v>
      </c>
      <c r="HG33">
        <f>IF('Ark1'!941:941,"AAAAAGXWr9Y=",0)</f>
        <v>0</v>
      </c>
      <c r="HH33" t="e">
        <f>AND('Ark1'!A941,"AAAAAGXWr9c=")</f>
        <v>#VALUE!</v>
      </c>
      <c r="HI33" t="e">
        <f>AND('Ark1'!B941,"AAAAAGXWr9g=")</f>
        <v>#VALUE!</v>
      </c>
      <c r="HJ33" t="e">
        <f>AND('Ark1'!C941,"AAAAAGXWr9k=")</f>
        <v>#VALUE!</v>
      </c>
      <c r="HK33" t="e">
        <f>AND('Ark1'!D941,"AAAAAGXWr9o=")</f>
        <v>#VALUE!</v>
      </c>
      <c r="HL33" t="e">
        <f>AND('Ark1'!E941,"AAAAAGXWr9s=")</f>
        <v>#VALUE!</v>
      </c>
      <c r="HM33" t="e">
        <f>AND('Ark1'!F941,"AAAAAGXWr9w=")</f>
        <v>#VALUE!</v>
      </c>
      <c r="HN33" t="e">
        <f>AND('Ark1'!G941,"AAAAAGXWr90=")</f>
        <v>#VALUE!</v>
      </c>
      <c r="HO33" t="e">
        <f>AND('Ark1'!H941,"AAAAAGXWr94=")</f>
        <v>#VALUE!</v>
      </c>
      <c r="HP33">
        <f>IF('Ark1'!942:942,"AAAAAGXWr98=",0)</f>
        <v>0</v>
      </c>
      <c r="HQ33" t="e">
        <f>AND('Ark1'!A942,"AAAAAGXWr+A=")</f>
        <v>#VALUE!</v>
      </c>
      <c r="HR33" t="e">
        <f>AND('Ark1'!B942,"AAAAAGXWr+E=")</f>
        <v>#VALUE!</v>
      </c>
      <c r="HS33" t="e">
        <f>AND('Ark1'!C942,"AAAAAGXWr+I=")</f>
        <v>#VALUE!</v>
      </c>
      <c r="HT33" t="e">
        <f>AND('Ark1'!D942,"AAAAAGXWr+M=")</f>
        <v>#VALUE!</v>
      </c>
      <c r="HU33" t="e">
        <f>AND('Ark1'!E942,"AAAAAGXWr+Q=")</f>
        <v>#VALUE!</v>
      </c>
      <c r="HV33" t="e">
        <f>AND('Ark1'!F942,"AAAAAGXWr+U=")</f>
        <v>#VALUE!</v>
      </c>
      <c r="HW33" t="e">
        <f>AND('Ark1'!G942,"AAAAAGXWr+Y=")</f>
        <v>#VALUE!</v>
      </c>
      <c r="HX33" t="e">
        <f>AND('Ark1'!H942,"AAAAAGXWr+c=")</f>
        <v>#VALUE!</v>
      </c>
      <c r="HY33">
        <f>IF('Ark1'!943:943,"AAAAAGXWr+g=",0)</f>
        <v>0</v>
      </c>
      <c r="HZ33" t="e">
        <f>AND('Ark1'!A943,"AAAAAGXWr+k=")</f>
        <v>#VALUE!</v>
      </c>
      <c r="IA33" t="e">
        <f>AND('Ark1'!B943,"AAAAAGXWr+o=")</f>
        <v>#VALUE!</v>
      </c>
      <c r="IB33" t="e">
        <f>AND('Ark1'!C943,"AAAAAGXWr+s=")</f>
        <v>#VALUE!</v>
      </c>
      <c r="IC33" t="e">
        <f>AND('Ark1'!D943,"AAAAAGXWr+w=")</f>
        <v>#VALUE!</v>
      </c>
      <c r="ID33" t="e">
        <f>AND('Ark1'!E943,"AAAAAGXWr+0=")</f>
        <v>#VALUE!</v>
      </c>
      <c r="IE33" t="e">
        <f>AND('Ark1'!F943,"AAAAAGXWr+4=")</f>
        <v>#VALUE!</v>
      </c>
      <c r="IF33" t="e">
        <f>AND('Ark1'!G943,"AAAAAGXWr+8=")</f>
        <v>#VALUE!</v>
      </c>
      <c r="IG33" t="e">
        <f>AND('Ark1'!H943,"AAAAAGXWr/A=")</f>
        <v>#VALUE!</v>
      </c>
      <c r="IH33">
        <f>IF('Ark1'!944:944,"AAAAAGXWr/E=",0)</f>
        <v>0</v>
      </c>
      <c r="II33" t="e">
        <f>AND('Ark1'!A944,"AAAAAGXWr/I=")</f>
        <v>#VALUE!</v>
      </c>
      <c r="IJ33" t="e">
        <f>AND('Ark1'!B944,"AAAAAGXWr/M=")</f>
        <v>#VALUE!</v>
      </c>
      <c r="IK33" t="e">
        <f>AND('Ark1'!C944,"AAAAAGXWr/Q=")</f>
        <v>#VALUE!</v>
      </c>
      <c r="IL33" t="e">
        <f>AND('Ark1'!D944,"AAAAAGXWr/U=")</f>
        <v>#VALUE!</v>
      </c>
      <c r="IM33" t="e">
        <f>AND('Ark1'!E944,"AAAAAGXWr/Y=")</f>
        <v>#VALUE!</v>
      </c>
      <c r="IN33" t="e">
        <f>AND('Ark1'!F944,"AAAAAGXWr/c=")</f>
        <v>#VALUE!</v>
      </c>
      <c r="IO33" t="e">
        <f>AND('Ark1'!G944,"AAAAAGXWr/g=")</f>
        <v>#VALUE!</v>
      </c>
      <c r="IP33" t="e">
        <f>AND('Ark1'!H944,"AAAAAGXWr/k=")</f>
        <v>#VALUE!</v>
      </c>
      <c r="IQ33">
        <f>IF('Ark1'!945:945,"AAAAAGXWr/o=",0)</f>
        <v>0</v>
      </c>
      <c r="IR33" t="e">
        <f>AND('Ark1'!A945,"AAAAAGXWr/s=")</f>
        <v>#VALUE!</v>
      </c>
      <c r="IS33" t="e">
        <f>AND('Ark1'!B945,"AAAAAGXWr/w=")</f>
        <v>#VALUE!</v>
      </c>
      <c r="IT33" t="e">
        <f>AND('Ark1'!C945,"AAAAAGXWr/0=")</f>
        <v>#VALUE!</v>
      </c>
      <c r="IU33" t="e">
        <f>AND('Ark1'!D945,"AAAAAGXWr/4=")</f>
        <v>#VALUE!</v>
      </c>
      <c r="IV33" t="e">
        <f>AND('Ark1'!E945,"AAAAAGXWr/8=")</f>
        <v>#VALUE!</v>
      </c>
    </row>
    <row r="34" spans="1:256" x14ac:dyDescent="0.25">
      <c r="A34" t="e">
        <f>AND('Ark1'!F945,"AAAAAH+yXQA=")</f>
        <v>#VALUE!</v>
      </c>
      <c r="B34" t="e">
        <f>AND('Ark1'!G945,"AAAAAH+yXQE=")</f>
        <v>#VALUE!</v>
      </c>
      <c r="C34" t="e">
        <f>AND('Ark1'!H945,"AAAAAH+yXQI=")</f>
        <v>#VALUE!</v>
      </c>
      <c r="D34">
        <f>IF('Ark1'!946:946,"AAAAAH+yXQM=",0)</f>
        <v>0</v>
      </c>
      <c r="E34" t="e">
        <f>AND('Ark1'!A946,"AAAAAH+yXQQ=")</f>
        <v>#VALUE!</v>
      </c>
      <c r="F34" t="e">
        <f>AND('Ark1'!B946,"AAAAAH+yXQU=")</f>
        <v>#VALUE!</v>
      </c>
      <c r="G34" t="e">
        <f>AND('Ark1'!C946,"AAAAAH+yXQY=")</f>
        <v>#VALUE!</v>
      </c>
      <c r="H34" t="e">
        <f>AND('Ark1'!D946,"AAAAAH+yXQc=")</f>
        <v>#VALUE!</v>
      </c>
      <c r="I34" t="e">
        <f>AND('Ark1'!E946,"AAAAAH+yXQg=")</f>
        <v>#VALUE!</v>
      </c>
      <c r="J34" t="e">
        <f>AND('Ark1'!F946,"AAAAAH+yXQk=")</f>
        <v>#VALUE!</v>
      </c>
      <c r="K34" t="e">
        <f>AND('Ark1'!G946,"AAAAAH+yXQo=")</f>
        <v>#VALUE!</v>
      </c>
      <c r="L34" t="e">
        <f>AND('Ark1'!H946,"AAAAAH+yXQs=")</f>
        <v>#VALUE!</v>
      </c>
      <c r="M34">
        <f>IF('Ark1'!947:947,"AAAAAH+yXQw=",0)</f>
        <v>0</v>
      </c>
      <c r="N34" t="e">
        <f>AND('Ark1'!A947,"AAAAAH+yXQ0=")</f>
        <v>#VALUE!</v>
      </c>
      <c r="O34" t="e">
        <f>AND('Ark1'!B947,"AAAAAH+yXQ4=")</f>
        <v>#VALUE!</v>
      </c>
      <c r="P34" t="e">
        <f>AND('Ark1'!C947,"AAAAAH+yXQ8=")</f>
        <v>#VALUE!</v>
      </c>
      <c r="Q34" t="e">
        <f>AND('Ark1'!D947,"AAAAAH+yXRA=")</f>
        <v>#VALUE!</v>
      </c>
      <c r="R34" t="e">
        <f>AND('Ark1'!E947,"AAAAAH+yXRE=")</f>
        <v>#VALUE!</v>
      </c>
      <c r="S34" t="e">
        <f>AND('Ark1'!F947,"AAAAAH+yXRI=")</f>
        <v>#VALUE!</v>
      </c>
      <c r="T34" t="e">
        <f>AND('Ark1'!G947,"AAAAAH+yXRM=")</f>
        <v>#VALUE!</v>
      </c>
      <c r="U34" t="e">
        <f>AND('Ark1'!H947,"AAAAAH+yXRQ=")</f>
        <v>#VALUE!</v>
      </c>
      <c r="V34">
        <f>IF('Ark1'!948:948,"AAAAAH+yXRU=",0)</f>
        <v>0</v>
      </c>
      <c r="W34" t="e">
        <f>AND('Ark1'!A948,"AAAAAH+yXRY=")</f>
        <v>#VALUE!</v>
      </c>
      <c r="X34" t="e">
        <f>AND('Ark1'!B948,"AAAAAH+yXRc=")</f>
        <v>#VALUE!</v>
      </c>
      <c r="Y34" t="e">
        <f>AND('Ark1'!C948,"AAAAAH+yXRg=")</f>
        <v>#VALUE!</v>
      </c>
      <c r="Z34" t="e">
        <f>AND('Ark1'!D948,"AAAAAH+yXRk=")</f>
        <v>#VALUE!</v>
      </c>
      <c r="AA34" t="e">
        <f>AND('Ark1'!E948,"AAAAAH+yXRo=")</f>
        <v>#VALUE!</v>
      </c>
      <c r="AB34" t="e">
        <f>AND('Ark1'!F948,"AAAAAH+yXRs=")</f>
        <v>#VALUE!</v>
      </c>
      <c r="AC34" t="e">
        <f>AND('Ark1'!G948,"AAAAAH+yXRw=")</f>
        <v>#VALUE!</v>
      </c>
      <c r="AD34" t="e">
        <f>AND('Ark1'!H948,"AAAAAH+yXR0=")</f>
        <v>#VALUE!</v>
      </c>
      <c r="AE34">
        <f>IF('Ark1'!949:949,"AAAAAH+yXR4=",0)</f>
        <v>0</v>
      </c>
      <c r="AF34" t="e">
        <f>AND('Ark1'!A949,"AAAAAH+yXR8=")</f>
        <v>#VALUE!</v>
      </c>
      <c r="AG34" t="e">
        <f>AND('Ark1'!B949,"AAAAAH+yXSA=")</f>
        <v>#VALUE!</v>
      </c>
      <c r="AH34" t="e">
        <f>AND('Ark1'!C949,"AAAAAH+yXSE=")</f>
        <v>#VALUE!</v>
      </c>
      <c r="AI34" t="e">
        <f>AND('Ark1'!D949,"AAAAAH+yXSI=")</f>
        <v>#VALUE!</v>
      </c>
      <c r="AJ34" t="e">
        <f>AND('Ark1'!E949,"AAAAAH+yXSM=")</f>
        <v>#VALUE!</v>
      </c>
      <c r="AK34" t="e">
        <f>AND('Ark1'!F949,"AAAAAH+yXSQ=")</f>
        <v>#VALUE!</v>
      </c>
      <c r="AL34" t="e">
        <f>AND('Ark1'!G949,"AAAAAH+yXSU=")</f>
        <v>#VALUE!</v>
      </c>
      <c r="AM34" t="e">
        <f>AND('Ark1'!H949,"AAAAAH+yXSY=")</f>
        <v>#VALUE!</v>
      </c>
      <c r="AN34">
        <f>IF('Ark1'!950:950,"AAAAAH+yXSc=",0)</f>
        <v>0</v>
      </c>
      <c r="AO34" t="e">
        <f>AND('Ark1'!A950,"AAAAAH+yXSg=")</f>
        <v>#VALUE!</v>
      </c>
      <c r="AP34" t="e">
        <f>AND('Ark1'!B950,"AAAAAH+yXSk=")</f>
        <v>#VALUE!</v>
      </c>
      <c r="AQ34" t="e">
        <f>AND('Ark1'!C950,"AAAAAH+yXSo=")</f>
        <v>#VALUE!</v>
      </c>
      <c r="AR34" t="e">
        <f>AND('Ark1'!D950,"AAAAAH+yXSs=")</f>
        <v>#VALUE!</v>
      </c>
      <c r="AS34" t="e">
        <f>AND('Ark1'!E950,"AAAAAH+yXSw=")</f>
        <v>#VALUE!</v>
      </c>
      <c r="AT34" t="e">
        <f>AND('Ark1'!F950,"AAAAAH+yXS0=")</f>
        <v>#VALUE!</v>
      </c>
      <c r="AU34" t="e">
        <f>AND('Ark1'!G950,"AAAAAH+yXS4=")</f>
        <v>#VALUE!</v>
      </c>
      <c r="AV34" t="e">
        <f>AND('Ark1'!H950,"AAAAAH+yXS8=")</f>
        <v>#VALUE!</v>
      </c>
      <c r="AW34">
        <f>IF('Ark1'!951:951,"AAAAAH+yXTA=",0)</f>
        <v>0</v>
      </c>
      <c r="AX34" t="e">
        <f>AND('Ark1'!A951,"AAAAAH+yXTE=")</f>
        <v>#VALUE!</v>
      </c>
      <c r="AY34" t="e">
        <f>AND('Ark1'!B951,"AAAAAH+yXTI=")</f>
        <v>#VALUE!</v>
      </c>
      <c r="AZ34" t="e">
        <f>AND('Ark1'!C951,"AAAAAH+yXTM=")</f>
        <v>#VALUE!</v>
      </c>
      <c r="BA34" t="e">
        <f>AND('Ark1'!D951,"AAAAAH+yXTQ=")</f>
        <v>#VALUE!</v>
      </c>
      <c r="BB34" t="e">
        <f>AND('Ark1'!E951,"AAAAAH+yXTU=")</f>
        <v>#VALUE!</v>
      </c>
      <c r="BC34" t="e">
        <f>AND('Ark1'!F951,"AAAAAH+yXTY=")</f>
        <v>#VALUE!</v>
      </c>
      <c r="BD34" t="e">
        <f>AND('Ark1'!G951,"AAAAAH+yXTc=")</f>
        <v>#VALUE!</v>
      </c>
      <c r="BE34" t="e">
        <f>AND('Ark1'!H951,"AAAAAH+yXTg=")</f>
        <v>#VALUE!</v>
      </c>
      <c r="BF34">
        <f>IF('Ark1'!952:952,"AAAAAH+yXTk=",0)</f>
        <v>0</v>
      </c>
      <c r="BG34" t="e">
        <f>AND('Ark1'!A952,"AAAAAH+yXTo=")</f>
        <v>#VALUE!</v>
      </c>
      <c r="BH34" t="e">
        <f>AND('Ark1'!B952,"AAAAAH+yXTs=")</f>
        <v>#VALUE!</v>
      </c>
      <c r="BI34" t="e">
        <f>AND('Ark1'!C952,"AAAAAH+yXTw=")</f>
        <v>#VALUE!</v>
      </c>
      <c r="BJ34" t="e">
        <f>AND('Ark1'!D952,"AAAAAH+yXT0=")</f>
        <v>#VALUE!</v>
      </c>
      <c r="BK34" t="e">
        <f>AND('Ark1'!E952,"AAAAAH+yXT4=")</f>
        <v>#VALUE!</v>
      </c>
      <c r="BL34" t="e">
        <f>AND('Ark1'!F952,"AAAAAH+yXT8=")</f>
        <v>#VALUE!</v>
      </c>
      <c r="BM34" t="e">
        <f>AND('Ark1'!G952,"AAAAAH+yXUA=")</f>
        <v>#VALUE!</v>
      </c>
      <c r="BN34" t="e">
        <f>AND('Ark1'!H952,"AAAAAH+yXUE=")</f>
        <v>#VALUE!</v>
      </c>
      <c r="BO34">
        <f>IF('Ark1'!953:953,"AAAAAH+yXUI=",0)</f>
        <v>0</v>
      </c>
      <c r="BP34" t="e">
        <f>AND('Ark1'!A953,"AAAAAH+yXUM=")</f>
        <v>#VALUE!</v>
      </c>
      <c r="BQ34" t="e">
        <f>AND('Ark1'!B953,"AAAAAH+yXUQ=")</f>
        <v>#VALUE!</v>
      </c>
      <c r="BR34" t="e">
        <f>AND('Ark1'!C953,"AAAAAH+yXUU=")</f>
        <v>#VALUE!</v>
      </c>
      <c r="BS34" t="e">
        <f>AND('Ark1'!D953,"AAAAAH+yXUY=")</f>
        <v>#VALUE!</v>
      </c>
      <c r="BT34" t="e">
        <f>AND('Ark1'!E953,"AAAAAH+yXUc=")</f>
        <v>#VALUE!</v>
      </c>
      <c r="BU34" t="e">
        <f>AND('Ark1'!F953,"AAAAAH+yXUg=")</f>
        <v>#VALUE!</v>
      </c>
      <c r="BV34" t="e">
        <f>AND('Ark1'!G953,"AAAAAH+yXUk=")</f>
        <v>#VALUE!</v>
      </c>
      <c r="BW34" t="e">
        <f>AND('Ark1'!H953,"AAAAAH+yXUo=")</f>
        <v>#VALUE!</v>
      </c>
      <c r="BX34">
        <f>IF('Ark1'!954:954,"AAAAAH+yXUs=",0)</f>
        <v>0</v>
      </c>
      <c r="BY34" t="e">
        <f>AND('Ark1'!A954,"AAAAAH+yXUw=")</f>
        <v>#VALUE!</v>
      </c>
      <c r="BZ34" t="e">
        <f>AND('Ark1'!B954,"AAAAAH+yXU0=")</f>
        <v>#VALUE!</v>
      </c>
      <c r="CA34" t="e">
        <f>AND('Ark1'!C954,"AAAAAH+yXU4=")</f>
        <v>#VALUE!</v>
      </c>
      <c r="CB34" t="e">
        <f>AND('Ark1'!D954,"AAAAAH+yXU8=")</f>
        <v>#VALUE!</v>
      </c>
      <c r="CC34" t="e">
        <f>AND('Ark1'!E954,"AAAAAH+yXVA=")</f>
        <v>#VALUE!</v>
      </c>
      <c r="CD34" t="e">
        <f>AND('Ark1'!F954,"AAAAAH+yXVE=")</f>
        <v>#VALUE!</v>
      </c>
      <c r="CE34" t="e">
        <f>AND('Ark1'!G954,"AAAAAH+yXVI=")</f>
        <v>#VALUE!</v>
      </c>
      <c r="CF34" t="e">
        <f>AND('Ark1'!H954,"AAAAAH+yXVM=")</f>
        <v>#VALUE!</v>
      </c>
      <c r="CG34">
        <f>IF('Ark1'!955:955,"AAAAAH+yXVQ=",0)</f>
        <v>0</v>
      </c>
      <c r="CH34" t="e">
        <f>AND('Ark1'!A955,"AAAAAH+yXVU=")</f>
        <v>#VALUE!</v>
      </c>
      <c r="CI34" t="e">
        <f>AND('Ark1'!B955,"AAAAAH+yXVY=")</f>
        <v>#VALUE!</v>
      </c>
      <c r="CJ34" t="e">
        <f>AND('Ark1'!C955,"AAAAAH+yXVc=")</f>
        <v>#VALUE!</v>
      </c>
      <c r="CK34" t="e">
        <f>AND('Ark1'!D955,"AAAAAH+yXVg=")</f>
        <v>#VALUE!</v>
      </c>
      <c r="CL34" t="e">
        <f>AND('Ark1'!E955,"AAAAAH+yXVk=")</f>
        <v>#VALUE!</v>
      </c>
      <c r="CM34" t="e">
        <f>AND('Ark1'!F955,"AAAAAH+yXVo=")</f>
        <v>#VALUE!</v>
      </c>
      <c r="CN34" t="e">
        <f>AND('Ark1'!G955,"AAAAAH+yXVs=")</f>
        <v>#VALUE!</v>
      </c>
      <c r="CO34" t="e">
        <f>AND('Ark1'!H955,"AAAAAH+yXVw=")</f>
        <v>#VALUE!</v>
      </c>
      <c r="CP34">
        <f>IF('Ark1'!956:956,"AAAAAH+yXV0=",0)</f>
        <v>0</v>
      </c>
      <c r="CQ34" t="e">
        <f>AND('Ark1'!A956,"AAAAAH+yXV4=")</f>
        <v>#VALUE!</v>
      </c>
      <c r="CR34" t="e">
        <f>AND('Ark1'!B956,"AAAAAH+yXV8=")</f>
        <v>#VALUE!</v>
      </c>
      <c r="CS34" t="e">
        <f>AND('Ark1'!C956,"AAAAAH+yXWA=")</f>
        <v>#VALUE!</v>
      </c>
      <c r="CT34" t="e">
        <f>AND('Ark1'!D956,"AAAAAH+yXWE=")</f>
        <v>#VALUE!</v>
      </c>
      <c r="CU34" t="e">
        <f>AND('Ark1'!E956,"AAAAAH+yXWI=")</f>
        <v>#VALUE!</v>
      </c>
      <c r="CV34" t="e">
        <f>AND('Ark1'!F956,"AAAAAH+yXWM=")</f>
        <v>#VALUE!</v>
      </c>
      <c r="CW34" t="e">
        <f>AND('Ark1'!G956,"AAAAAH+yXWQ=")</f>
        <v>#VALUE!</v>
      </c>
      <c r="CX34" t="e">
        <f>AND('Ark1'!H956,"AAAAAH+yXWU=")</f>
        <v>#VALUE!</v>
      </c>
      <c r="CY34">
        <f>IF('Ark1'!957:957,"AAAAAH+yXWY=",0)</f>
        <v>0</v>
      </c>
      <c r="CZ34" t="e">
        <f>AND('Ark1'!A957,"AAAAAH+yXWc=")</f>
        <v>#VALUE!</v>
      </c>
      <c r="DA34" t="e">
        <f>AND('Ark1'!B957,"AAAAAH+yXWg=")</f>
        <v>#VALUE!</v>
      </c>
      <c r="DB34" t="e">
        <f>AND('Ark1'!C957,"AAAAAH+yXWk=")</f>
        <v>#VALUE!</v>
      </c>
      <c r="DC34" t="e">
        <f>AND('Ark1'!D957,"AAAAAH+yXWo=")</f>
        <v>#VALUE!</v>
      </c>
      <c r="DD34" t="e">
        <f>AND('Ark1'!E957,"AAAAAH+yXWs=")</f>
        <v>#VALUE!</v>
      </c>
      <c r="DE34" t="e">
        <f>AND('Ark1'!F957,"AAAAAH+yXWw=")</f>
        <v>#VALUE!</v>
      </c>
      <c r="DF34" t="e">
        <f>AND('Ark1'!G957,"AAAAAH+yXW0=")</f>
        <v>#VALUE!</v>
      </c>
      <c r="DG34" t="e">
        <f>AND('Ark1'!H957,"AAAAAH+yXW4=")</f>
        <v>#VALUE!</v>
      </c>
      <c r="DH34">
        <f>IF('Ark1'!958:958,"AAAAAH+yXW8=",0)</f>
        <v>0</v>
      </c>
      <c r="DI34" t="e">
        <f>AND('Ark1'!A958,"AAAAAH+yXXA=")</f>
        <v>#VALUE!</v>
      </c>
      <c r="DJ34" t="e">
        <f>AND('Ark1'!B958,"AAAAAH+yXXE=")</f>
        <v>#VALUE!</v>
      </c>
      <c r="DK34" t="e">
        <f>AND('Ark1'!C958,"AAAAAH+yXXI=")</f>
        <v>#VALUE!</v>
      </c>
      <c r="DL34" t="e">
        <f>AND('Ark1'!D958,"AAAAAH+yXXM=")</f>
        <v>#VALUE!</v>
      </c>
      <c r="DM34" t="e">
        <f>AND('Ark1'!E958,"AAAAAH+yXXQ=")</f>
        <v>#VALUE!</v>
      </c>
      <c r="DN34" t="e">
        <f>AND('Ark1'!F958,"AAAAAH+yXXU=")</f>
        <v>#VALUE!</v>
      </c>
      <c r="DO34" t="e">
        <f>AND('Ark1'!G958,"AAAAAH+yXXY=")</f>
        <v>#VALUE!</v>
      </c>
      <c r="DP34" t="e">
        <f>AND('Ark1'!H958,"AAAAAH+yXXc=")</f>
        <v>#VALUE!</v>
      </c>
      <c r="DQ34">
        <f>IF('Ark1'!959:959,"AAAAAH+yXXg=",0)</f>
        <v>0</v>
      </c>
      <c r="DR34">
        <f>IF('Ark1'!960:960,"AAAAAH+yXXk=",0)</f>
        <v>0</v>
      </c>
      <c r="DS34">
        <f>IF('Ark1'!961:961,"AAAAAH+yXXo=",0)</f>
        <v>0</v>
      </c>
      <c r="DT34">
        <f>IF('Ark1'!962:962,"AAAAAH+yXXs=",0)</f>
        <v>0</v>
      </c>
      <c r="DU34">
        <f>IF('Ark1'!963:963,"AAAAAH+yXXw=",0)</f>
        <v>0</v>
      </c>
      <c r="DV34">
        <f>IF('Ark1'!964:964,"AAAAAH+yXX0=",0)</f>
        <v>0</v>
      </c>
      <c r="DW34">
        <f>IF('Ark1'!965:965,"AAAAAH+yXX4=",0)</f>
        <v>0</v>
      </c>
      <c r="DX34">
        <f>IF('Ark1'!966:966,"AAAAAH+yXX8=",0)</f>
        <v>0</v>
      </c>
      <c r="DY34">
        <f>IF('Ark1'!967:967,"AAAAAH+yXYA=",0)</f>
        <v>0</v>
      </c>
      <c r="DZ34">
        <f>IF('Ark1'!968:968,"AAAAAH+yXYE=",0)</f>
        <v>0</v>
      </c>
      <c r="EA34">
        <f>IF('Ark1'!969:969,"AAAAAH+yXYI=",0)</f>
        <v>0</v>
      </c>
      <c r="EB34">
        <f>IF('Ark1'!970:970,"AAAAAH+yXYM=",0)</f>
        <v>0</v>
      </c>
      <c r="EC34">
        <f>IF('Ark1'!971:971,"AAAAAH+yXYQ=",0)</f>
        <v>0</v>
      </c>
      <c r="ED34">
        <f>IF('Ark1'!972:972,"AAAAAH+yXYU=",0)</f>
        <v>0</v>
      </c>
      <c r="EE34">
        <f>IF('Ark1'!973:973,"AAAAAH+yXYY=",0)</f>
        <v>0</v>
      </c>
      <c r="EF34">
        <f>IF('Ark1'!974:974,"AAAAAH+yXYc=",0)</f>
        <v>0</v>
      </c>
      <c r="EG34">
        <f>IF('Ark1'!975:975,"AAAAAH+yXYg=",0)</f>
        <v>0</v>
      </c>
      <c r="EH34">
        <f>IF('Ark1'!976:976,"AAAAAH+yXYk=",0)</f>
        <v>0</v>
      </c>
      <c r="EI34">
        <f>IF('Ark1'!977:977,"AAAAAH+yXYo=",0)</f>
        <v>0</v>
      </c>
      <c r="EJ34">
        <f>IF('Ark1'!978:978,"AAAAAH+yXYs=",0)</f>
        <v>0</v>
      </c>
      <c r="EK34">
        <f>IF('Ark1'!979:979,"AAAAAH+yXYw=",0)</f>
        <v>0</v>
      </c>
      <c r="EL34">
        <f>IF('Ark1'!980:980,"AAAAAH+yXY0=",0)</f>
        <v>0</v>
      </c>
      <c r="EM34">
        <f>IF('Ark1'!981:981,"AAAAAH+yXY4=",0)</f>
        <v>0</v>
      </c>
      <c r="EN34">
        <f>IF('Ark1'!982:982,"AAAAAH+yXY8=",0)</f>
        <v>0</v>
      </c>
      <c r="EO34">
        <f>IF('Ark1'!983:983,"AAAAAH+yXZA=",0)</f>
        <v>0</v>
      </c>
      <c r="EP34">
        <f>IF('Ark1'!984:984,"AAAAAH+yXZE=",0)</f>
        <v>0</v>
      </c>
      <c r="EQ34">
        <f>IF('Ark1'!985:985,"AAAAAH+yXZI=",0)</f>
        <v>0</v>
      </c>
      <c r="ER34">
        <f>IF('Ark1'!986:986,"AAAAAH+yXZM=",0)</f>
        <v>0</v>
      </c>
      <c r="ES34">
        <f>IF('Ark1'!987:987,"AAAAAH+yXZQ=",0)</f>
        <v>0</v>
      </c>
      <c r="ET34">
        <f>IF('Ark1'!988:988,"AAAAAH+yXZU=",0)</f>
        <v>0</v>
      </c>
      <c r="EU34">
        <f>IF('Ark1'!989:989,"AAAAAH+yXZY=",0)</f>
        <v>0</v>
      </c>
      <c r="EV34">
        <f>IF('Ark1'!990:990,"AAAAAH+yXZc=",0)</f>
        <v>0</v>
      </c>
      <c r="EW34">
        <f>IF('Ark1'!991:991,"AAAAAH+yXZg=",0)</f>
        <v>0</v>
      </c>
      <c r="EX34">
        <f>IF('Ark1'!992:992,"AAAAAH+yXZk=",0)</f>
        <v>0</v>
      </c>
      <c r="EY34">
        <f>IF('Ark1'!993:993,"AAAAAH+yXZo=",0)</f>
        <v>0</v>
      </c>
      <c r="EZ34">
        <f>IF('Ark1'!994:994,"AAAAAH+yXZs=",0)</f>
        <v>0</v>
      </c>
      <c r="FA34">
        <f>IF('Ark1'!995:995,"AAAAAH+yXZw=",0)</f>
        <v>0</v>
      </c>
      <c r="FB34">
        <f>IF('Ark1'!996:996,"AAAAAH+yXZ0=",0)</f>
        <v>0</v>
      </c>
      <c r="FC34">
        <f>IF('Ark1'!997:997,"AAAAAH+yXZ4=",0)</f>
        <v>0</v>
      </c>
      <c r="FD34">
        <f>IF('Ark1'!998:998,"AAAAAH+yXZ8=",0)</f>
        <v>0</v>
      </c>
      <c r="FE34">
        <f>IF('Ark1'!999:999,"AAAAAH+yXaA=",0)</f>
        <v>0</v>
      </c>
      <c r="FF34">
        <f>IF('Ark1'!1000:1000,"AAAAAH+yXaE=",0)</f>
        <v>0</v>
      </c>
      <c r="FG34">
        <f>IF('Ark1'!1001:1001,"AAAAAH+yXaI=",0)</f>
        <v>0</v>
      </c>
      <c r="FH34">
        <f>IF('Ark1'!1002:1002,"AAAAAH+yXaM=",0)</f>
        <v>0</v>
      </c>
      <c r="FI34">
        <f>IF('Ark1'!1003:1003,"AAAAAH+yXaQ=",0)</f>
        <v>0</v>
      </c>
      <c r="FJ34">
        <f>IF('Ark1'!1004:1004,"AAAAAH+yXaU=",0)</f>
        <v>0</v>
      </c>
      <c r="FK34">
        <f>IF('Ark1'!1005:1005,"AAAAAH+yXaY=",0)</f>
        <v>0</v>
      </c>
      <c r="FL34">
        <f>IF('Ark1'!1006:1006,"AAAAAH+yXac=",0)</f>
        <v>0</v>
      </c>
      <c r="FM34">
        <f>IF('Ark1'!1007:1007,"AAAAAH+yXag=",0)</f>
        <v>0</v>
      </c>
      <c r="FN34">
        <f>IF('Ark1'!1008:1008,"AAAAAH+yXak=",0)</f>
        <v>0</v>
      </c>
      <c r="FO34">
        <f>IF('Ark1'!1009:1009,"AAAAAH+yXao=",0)</f>
        <v>0</v>
      </c>
      <c r="FP34">
        <f>IF('Ark1'!1010:1010,"AAAAAH+yXas=",0)</f>
        <v>0</v>
      </c>
      <c r="FQ34">
        <f>IF('Ark1'!1011:1011,"AAAAAH+yXaw=",0)</f>
        <v>0</v>
      </c>
      <c r="FR34">
        <f>IF('Ark1'!1012:1012,"AAAAAH+yXa0=",0)</f>
        <v>0</v>
      </c>
      <c r="FS34">
        <f>IF('Ark1'!1013:1013,"AAAAAH+yXa4=",0)</f>
        <v>0</v>
      </c>
      <c r="FT34">
        <f>IF('Ark1'!1014:1014,"AAAAAH+yXa8=",0)</f>
        <v>0</v>
      </c>
      <c r="FU34">
        <f>IF('Ark1'!1015:1015,"AAAAAH+yXbA=",0)</f>
        <v>0</v>
      </c>
      <c r="FV34">
        <f>IF('Ark1'!1016:1016,"AAAAAH+yXbE=",0)</f>
        <v>0</v>
      </c>
      <c r="FW34">
        <f>IF('Ark1'!1017:1017,"AAAAAH+yXbI=",0)</f>
        <v>0</v>
      </c>
      <c r="FX34">
        <f>IF('Ark1'!1018:1018,"AAAAAH+yXbM=",0)</f>
        <v>0</v>
      </c>
      <c r="FY34">
        <f>IF('Ark1'!1019:1019,"AAAAAH+yXbQ=",0)</f>
        <v>0</v>
      </c>
      <c r="FZ34">
        <f>IF('Ark1'!1020:1020,"AAAAAH+yXbU=",0)</f>
        <v>0</v>
      </c>
      <c r="GA34">
        <f>IF('Ark1'!1021:1021,"AAAAAH+yXbY=",0)</f>
        <v>0</v>
      </c>
      <c r="GB34">
        <f>IF('Ark1'!1022:1022,"AAAAAH+yXbc=",0)</f>
        <v>0</v>
      </c>
      <c r="GC34">
        <f>IF('Ark1'!1023:1023,"AAAAAH+yXbg=",0)</f>
        <v>0</v>
      </c>
      <c r="GD34">
        <f>IF('Ark1'!1024:1024,"AAAAAH+yXbk=",0)</f>
        <v>0</v>
      </c>
      <c r="GE34">
        <f>IF('Ark1'!1025:1025,"AAAAAH+yXbo=",0)</f>
        <v>0</v>
      </c>
      <c r="GF34">
        <f>IF('Ark1'!1026:1026,"AAAAAH+yXbs=",0)</f>
        <v>0</v>
      </c>
      <c r="GG34">
        <f>IF('Ark1'!1027:1027,"AAAAAH+yXbw=",0)</f>
        <v>0</v>
      </c>
      <c r="GH34">
        <f>IF('Ark1'!1028:1028,"AAAAAH+yXb0=",0)</f>
        <v>0</v>
      </c>
      <c r="GI34">
        <f>IF('Ark1'!1029:1029,"AAAAAH+yXb4=",0)</f>
        <v>0</v>
      </c>
      <c r="GJ34">
        <f>IF('Ark1'!1030:1030,"AAAAAH+yXb8=",0)</f>
        <v>0</v>
      </c>
      <c r="GK34">
        <f>IF('Ark1'!1031:1031,"AAAAAH+yXcA=",0)</f>
        <v>0</v>
      </c>
      <c r="GL34">
        <f>IF('Ark1'!1032:1032,"AAAAAH+yXcE=",0)</f>
        <v>0</v>
      </c>
      <c r="GM34">
        <f>IF('Ark1'!1033:1033,"AAAAAH+yXcI=",0)</f>
        <v>0</v>
      </c>
      <c r="GN34">
        <f>IF('Ark1'!1034:1034,"AAAAAH+yXcM=",0)</f>
        <v>0</v>
      </c>
      <c r="GO34">
        <f>IF('Ark1'!1035:1035,"AAAAAH+yXcQ=",0)</f>
        <v>0</v>
      </c>
      <c r="GP34">
        <f>IF('Ark1'!1036:1036,"AAAAAH+yXcU=",0)</f>
        <v>0</v>
      </c>
      <c r="GQ34">
        <f>IF('Ark1'!1037:1037,"AAAAAH+yXcY=",0)</f>
        <v>0</v>
      </c>
      <c r="GR34">
        <f>IF('Ark1'!1038:1038,"AAAAAH+yXcc=",0)</f>
        <v>0</v>
      </c>
      <c r="GS34">
        <f>IF('Ark1'!1039:1039,"AAAAAH+yXcg=",0)</f>
        <v>0</v>
      </c>
      <c r="GT34">
        <f>IF('Ark1'!1040:1040,"AAAAAH+yXck=",0)</f>
        <v>0</v>
      </c>
      <c r="GU34">
        <f>IF('Ark1'!1041:1041,"AAAAAH+yXco=",0)</f>
        <v>0</v>
      </c>
      <c r="GV34">
        <f>IF('Ark1'!1042:1042,"AAAAAH+yXcs=",0)</f>
        <v>0</v>
      </c>
      <c r="GW34">
        <f>IF('Ark1'!1043:1043,"AAAAAH+yXcw=",0)</f>
        <v>0</v>
      </c>
      <c r="GX34">
        <f>IF('Ark1'!1044:1044,"AAAAAH+yXc0=",0)</f>
        <v>0</v>
      </c>
      <c r="GY34">
        <f>IF('Ark1'!1045:1045,"AAAAAH+yXc4=",0)</f>
        <v>0</v>
      </c>
      <c r="GZ34">
        <f>IF('Ark1'!1046:1046,"AAAAAH+yXc8=",0)</f>
        <v>0</v>
      </c>
      <c r="HA34">
        <f>IF('Ark1'!1047:1047,"AAAAAH+yXdA=",0)</f>
        <v>0</v>
      </c>
      <c r="HB34">
        <f>IF('Ark1'!1048:1048,"AAAAAH+yXdE=",0)</f>
        <v>0</v>
      </c>
      <c r="HC34">
        <f>IF('Ark1'!1049:1049,"AAAAAH+yXdI=",0)</f>
        <v>0</v>
      </c>
      <c r="HD34">
        <f>IF('Ark1'!1050:1050,"AAAAAH+yXdM=",0)</f>
        <v>0</v>
      </c>
      <c r="HE34">
        <f>IF('Ark1'!1051:1051,"AAAAAH+yXdQ=",0)</f>
        <v>0</v>
      </c>
      <c r="HF34">
        <f>IF('Ark1'!1052:1052,"AAAAAH+yXdU=",0)</f>
        <v>0</v>
      </c>
      <c r="HG34">
        <f>IF('Ark1'!1053:1053,"AAAAAH+yXdY=",0)</f>
        <v>0</v>
      </c>
      <c r="HH34">
        <f>IF('Ark1'!1054:1054,"AAAAAH+yXdc=",0)</f>
        <v>0</v>
      </c>
      <c r="HI34">
        <f>IF('Ark1'!1055:1055,"AAAAAH+yXdg=",0)</f>
        <v>0</v>
      </c>
      <c r="HJ34">
        <f>IF('Ark1'!1056:1056,"AAAAAH+yXdk=",0)</f>
        <v>0</v>
      </c>
      <c r="HK34">
        <f>IF('Ark1'!1057:1057,"AAAAAH+yXdo=",0)</f>
        <v>0</v>
      </c>
      <c r="HL34">
        <f>IF('Ark1'!1058:1058,"AAAAAH+yXds=",0)</f>
        <v>0</v>
      </c>
      <c r="HM34">
        <f>IF('Ark1'!1059:1059,"AAAAAH+yXdw=",0)</f>
        <v>0</v>
      </c>
      <c r="HN34">
        <f>IF('Ark1'!1060:1060,"AAAAAH+yXd0=",0)</f>
        <v>0</v>
      </c>
      <c r="HO34">
        <f>IF('Ark1'!1061:1061,"AAAAAH+yXd4=",0)</f>
        <v>0</v>
      </c>
      <c r="HP34">
        <f>IF('Ark1'!1062:1062,"AAAAAH+yXd8=",0)</f>
        <v>0</v>
      </c>
      <c r="HQ34">
        <f>IF('Ark1'!1063:1063,"AAAAAH+yXeA=",0)</f>
        <v>0</v>
      </c>
      <c r="HR34">
        <f>IF('Ark1'!1064:1064,"AAAAAH+yXeE=",0)</f>
        <v>0</v>
      </c>
      <c r="HS34">
        <f>IF('Ark1'!1065:1065,"AAAAAH+yXeI=",0)</f>
        <v>0</v>
      </c>
      <c r="HT34">
        <f>IF('Ark1'!1066:1066,"AAAAAH+yXeM=",0)</f>
        <v>0</v>
      </c>
      <c r="HU34">
        <f>IF('Ark1'!1067:1067,"AAAAAH+yXeQ=",0)</f>
        <v>0</v>
      </c>
      <c r="HV34">
        <f>IF('Ark1'!1068:1068,"AAAAAH+yXeU=",0)</f>
        <v>0</v>
      </c>
      <c r="HW34">
        <f>IF('Ark1'!1069:1069,"AAAAAH+yXeY=",0)</f>
        <v>0</v>
      </c>
      <c r="HX34">
        <f>IF('Ark1'!1070:1070,"AAAAAH+yXec=",0)</f>
        <v>0</v>
      </c>
      <c r="HY34">
        <f>IF('Ark1'!1071:1071,"AAAAAH+yXeg=",0)</f>
        <v>0</v>
      </c>
      <c r="HZ34">
        <f>IF('Ark1'!1072:1072,"AAAAAH+yXek=",0)</f>
        <v>0</v>
      </c>
      <c r="IA34">
        <f>IF('Ark1'!1073:1073,"AAAAAH+yXeo=",0)</f>
        <v>0</v>
      </c>
      <c r="IB34">
        <f>IF('Ark1'!1074:1074,"AAAAAH+yXes=",0)</f>
        <v>0</v>
      </c>
      <c r="IC34">
        <f>IF('Ark1'!1075:1075,"AAAAAH+yXew=",0)</f>
        <v>0</v>
      </c>
      <c r="ID34">
        <f>IF('Ark1'!1076:1076,"AAAAAH+yXe0=",0)</f>
        <v>0</v>
      </c>
      <c r="IE34">
        <f>IF('Ark1'!1077:1077,"AAAAAH+yXe4=",0)</f>
        <v>0</v>
      </c>
      <c r="IF34">
        <f>IF('Ark1'!1078:1078,"AAAAAH+yXe8=",0)</f>
        <v>0</v>
      </c>
      <c r="IG34">
        <f>IF('Ark1'!1079:1079,"AAAAAH+yXfA=",0)</f>
        <v>0</v>
      </c>
      <c r="IH34">
        <f>IF('Ark1'!1080:1080,"AAAAAH+yXfE=",0)</f>
        <v>0</v>
      </c>
      <c r="II34">
        <f>IF('Ark1'!1081:1081,"AAAAAH+yXfI=",0)</f>
        <v>0</v>
      </c>
      <c r="IJ34">
        <f>IF('Ark1'!1082:1082,"AAAAAH+yXfM=",0)</f>
        <v>0</v>
      </c>
      <c r="IK34">
        <f>IF('Ark1'!1083:1083,"AAAAAH+yXfQ=",0)</f>
        <v>0</v>
      </c>
      <c r="IL34">
        <f>IF('Ark1'!1084:1084,"AAAAAH+yXfU=",0)</f>
        <v>0</v>
      </c>
      <c r="IM34">
        <f>IF('Ark1'!1085:1085,"AAAAAH+yXfY=",0)</f>
        <v>0</v>
      </c>
      <c r="IN34">
        <f>IF('Ark1'!1086:1086,"AAAAAH+yXfc=",0)</f>
        <v>0</v>
      </c>
      <c r="IO34">
        <f>IF('Ark1'!1087:1087,"AAAAAH+yXfg=",0)</f>
        <v>0</v>
      </c>
      <c r="IP34">
        <f>IF('Ark1'!1088:1088,"AAAAAH+yXfk=",0)</f>
        <v>0</v>
      </c>
      <c r="IQ34">
        <f>IF('Ark1'!1089:1089,"AAAAAH+yXfo=",0)</f>
        <v>0</v>
      </c>
      <c r="IR34">
        <f>IF('Ark1'!1090:1090,"AAAAAH+yXfs=",0)</f>
        <v>0</v>
      </c>
      <c r="IS34">
        <f>IF('Ark1'!1091:1091,"AAAAAH+yXfw=",0)</f>
        <v>0</v>
      </c>
      <c r="IT34">
        <f>IF('Ark1'!A:A,"AAAAAH+yXf0=",0)</f>
        <v>0</v>
      </c>
      <c r="IU34">
        <f>IF('Ark1'!B:B,"AAAAAH+yXf4=",0)</f>
        <v>0</v>
      </c>
      <c r="IV34">
        <f>IF('Ark1'!C:C,"AAAAAH+yXf8=",0)</f>
        <v>0</v>
      </c>
    </row>
    <row r="35" spans="1:256" x14ac:dyDescent="0.25">
      <c r="A35">
        <f>IF('Ark1'!D:D,"AAAAAH6vegA=",0)</f>
        <v>0</v>
      </c>
      <c r="B35">
        <f>IF('Ark1'!E:E,"AAAAAH6vegE=",0)</f>
        <v>0</v>
      </c>
      <c r="C35">
        <f>IF('Ark1'!F:F,"AAAAAH6vegI=",0)</f>
        <v>0</v>
      </c>
      <c r="D35">
        <f>IF('Ark1'!G:G,"AAAAAH6vegM=",0)</f>
        <v>0</v>
      </c>
      <c r="E35">
        <f>IF('Ark1'!H:H,"AAAAAH6vegQ=",0)</f>
        <v>0</v>
      </c>
      <c r="F35">
        <f>IF('Ark2'!1:1,"AAAAAH6vegU=",0)</f>
        <v>0</v>
      </c>
      <c r="G35" t="e">
        <f>AND('Ark2'!A1,"AAAAAH6vegY=")</f>
        <v>#VALUE!</v>
      </c>
      <c r="H35">
        <f>IF('Ark2'!A:A,"AAAAAH6vegc=",0)</f>
        <v>0</v>
      </c>
      <c r="I35">
        <f>IF('Ark3'!1:1,"AAAAAH6vegg=",0)</f>
        <v>0</v>
      </c>
      <c r="J35" t="e">
        <f>AND('Ark3'!A1,"AAAAAH6vegk=")</f>
        <v>#VALUE!</v>
      </c>
      <c r="K35">
        <f>IF('Ark3'!A:A,"AAAAAH6vego=",0)</f>
        <v>0</v>
      </c>
      <c r="L35" t="s">
        <v>454</v>
      </c>
      <c r="M35" t="s">
        <v>455</v>
      </c>
    </row>
    <row r="36" spans="1:256" x14ac:dyDescent="0.25">
      <c r="A36" t="s">
        <v>459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Admin10</dc:creator>
  <cp:lastModifiedBy>Anders C. Aaby</cp:lastModifiedBy>
  <cp:lastPrinted>2016-01-04T08:55:06Z</cp:lastPrinted>
  <dcterms:created xsi:type="dcterms:W3CDTF">2011-03-05T01:52:54Z</dcterms:created>
  <dcterms:modified xsi:type="dcterms:W3CDTF">2016-02-23T11:20:36Z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120Pm1yRfu-SHTlJTFZUxpUTx0Z2AW4qFnvgeGERnUCI</vt:lpwstr>
  </property>
  <property fmtid="{D5CDD505-2E9C-101B-9397-08002B2CF9AE}" pid="4" name="Google.Documents.RevisionId">
    <vt:lpwstr>14498740725497769986</vt:lpwstr>
  </property>
  <property fmtid="{D5CDD505-2E9C-101B-9397-08002B2CF9AE}" pid="5" name="Google.Documents.PreviousRevisionId">
    <vt:lpwstr>07246672419342591963</vt:lpwstr>
  </property>
  <property fmtid="{D5CDD505-2E9C-101B-9397-08002B2CF9AE}" pid="6" name="Google.Documents.PluginVersion">
    <vt:lpwstr>2.0.2424.7283</vt:lpwstr>
  </property>
  <property fmtid="{D5CDD505-2E9C-101B-9397-08002B2CF9AE}" pid="7" name="Google.Documents.MergeIncapabilityFlags">
    <vt:i4>0</vt:i4>
  </property>
</Properties>
</file>